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activeTab="5"/>
  </bookViews>
  <sheets>
    <sheet name="浙江省旅游产业" sheetId="1" r:id="rId1"/>
    <sheet name="浙江省生态安全" sheetId="2" r:id="rId2"/>
    <sheet name="2010年" sheetId="3" r:id="rId3"/>
    <sheet name="2014年" sheetId="4" r:id="rId4"/>
    <sheet name="2018年" sheetId="5" r:id="rId5"/>
    <sheet name="2022年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<sst xmlns="http://schemas.openxmlformats.org/spreadsheetml/2006/main" count="690" uniqueCount="206">
  <si>
    <t>浙江省 指标层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</si>
  <si>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</si>
  <si>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</si>
  <si>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</si>
  <si>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</si>
  <si>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</si>
  <si>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</si>
  <si>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</si>
  <si>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</si>
  <si>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</si>
  <si>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</si>
  <si>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</si>
  <si>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</si>
  <si>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</si>
  <si>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2021年</t>
  </si>
  <si>
    <t>2022年</t>
  </si>
  <si>
    <t>单位</t>
  </si>
  <si>
    <r>
      <rPr>
        <sz val="11"/>
        <color rgb="FF000000"/>
        <rFont val="宋体"/>
        <charset val="134"/>
      </rPr>
      <t>国内旅游收入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1</t>
    </r>
  </si>
  <si>
    <t>亿元</t>
  </si>
  <si>
    <r>
      <rPr>
        <sz val="11"/>
        <color rgb="FF000000"/>
        <rFont val="宋体"/>
        <charset val="134"/>
      </rPr>
      <t>旅游外汇收入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2</t>
    </r>
  </si>
  <si>
    <t>亿美元</t>
  </si>
  <si>
    <r>
      <rPr>
        <sz val="11"/>
        <color rgb="FF000000"/>
        <rFont val="宋体"/>
        <charset val="134"/>
      </rPr>
      <t>国内游客接待量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3</t>
    </r>
  </si>
  <si>
    <t>万人</t>
  </si>
  <si>
    <r>
      <rPr>
        <sz val="11"/>
        <color rgb="FF000000"/>
        <rFont val="宋体"/>
        <charset val="134"/>
      </rPr>
      <t>入境游客接待量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4</t>
    </r>
  </si>
  <si>
    <r>
      <rPr>
        <sz val="11"/>
        <color rgb="FF000000"/>
        <rFont val="宋体"/>
        <charset val="134"/>
      </rPr>
      <t>旅行社营业收入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5</t>
    </r>
  </si>
  <si>
    <r>
      <rPr>
        <sz val="11"/>
        <color rgb="FF000000"/>
        <rFont val="宋体"/>
        <charset val="134"/>
      </rPr>
      <t>星级酒店营业收入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6</t>
    </r>
  </si>
  <si>
    <r>
      <rPr>
        <sz val="11"/>
        <color rgb="FF000000"/>
        <rFont val="宋体"/>
        <charset val="134"/>
      </rPr>
      <t>旅行社数量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7</t>
    </r>
  </si>
  <si>
    <t>家</t>
  </si>
  <si>
    <r>
      <rPr>
        <sz val="11"/>
        <color rgb="FF000000"/>
        <rFont val="宋体"/>
        <charset val="134"/>
      </rPr>
      <t>星级酒店数量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8</t>
    </r>
  </si>
  <si>
    <r>
      <rPr>
        <sz val="11"/>
        <color rgb="FF000000"/>
        <rFont val="宋体"/>
        <charset val="134"/>
      </rPr>
      <t>旅行社职工人数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9</t>
    </r>
  </si>
  <si>
    <r>
      <rPr>
        <sz val="11"/>
        <color rgb="FF000000"/>
        <rFont val="宋体"/>
        <charset val="134"/>
      </rPr>
      <t>星级酒店从业人员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10</t>
    </r>
  </si>
  <si>
    <r>
      <rPr>
        <sz val="11"/>
        <color rgb="FF231F20"/>
        <rFont val="宋体"/>
        <charset val="134"/>
      </rPr>
      <t>国内旅游收入增长率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11</t>
    </r>
  </si>
  <si>
    <t>%</t>
  </si>
  <si>
    <r>
      <rPr>
        <sz val="11"/>
        <color rgb="FF231F20"/>
        <rFont val="宋体"/>
        <charset val="134"/>
      </rPr>
      <t>旅游外汇收入增长率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12</t>
    </r>
  </si>
  <si>
    <r>
      <rPr>
        <sz val="11"/>
        <color rgb="FF231F20"/>
        <rFont val="宋体"/>
        <charset val="134"/>
      </rPr>
      <t>国内游客数量增长率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13</t>
    </r>
  </si>
  <si>
    <r>
      <rPr>
        <sz val="11"/>
        <color rgb="FF231F20"/>
        <rFont val="宋体"/>
        <charset val="134"/>
      </rPr>
      <t>入境游客数量增长率</t>
    </r>
    <r>
      <rPr>
        <sz val="11"/>
        <color rgb="FF000000"/>
        <rFont val="Times New Roman"/>
        <charset val="134"/>
      </rPr>
      <t>A</t>
    </r>
    <r>
      <rPr>
        <vertAlign val="subscript"/>
        <sz val="11"/>
        <color rgb="FF000000"/>
        <rFont val="Times New Roman"/>
        <charset val="134"/>
      </rPr>
      <t>14</t>
    </r>
  </si>
  <si>
    <r>
      <rPr>
        <sz val="11"/>
        <color rgb="FF231F20"/>
        <rFont val="宋体"/>
        <charset val="134"/>
      </rPr>
      <t>旅游</t>
    </r>
    <r>
      <rPr>
        <sz val="11"/>
        <color rgb="FF231F20"/>
        <rFont val="Times New Roman"/>
        <charset val="134"/>
      </rPr>
      <t>R&amp;D</t>
    </r>
    <r>
      <rPr>
        <sz val="11"/>
        <color rgb="FF231F20"/>
        <rFont val="宋体"/>
        <charset val="134"/>
      </rPr>
      <t>全时当量</t>
    </r>
    <r>
      <rPr>
        <sz val="11"/>
        <color rgb="FF231F20"/>
        <rFont val="Times New Roman"/>
        <charset val="134"/>
      </rPr>
      <t>A</t>
    </r>
    <r>
      <rPr>
        <vertAlign val="subscript"/>
        <sz val="11"/>
        <color rgb="FF231F20"/>
        <rFont val="Times New Roman"/>
        <charset val="134"/>
      </rPr>
      <t>15</t>
    </r>
  </si>
  <si>
    <r>
      <rPr>
        <sz val="11"/>
        <color rgb="FF231F20"/>
        <rFont val="宋体"/>
        <charset val="134"/>
      </rPr>
      <t>旅游</t>
    </r>
    <r>
      <rPr>
        <sz val="11"/>
        <color rgb="FF231F20"/>
        <rFont val="Times New Roman"/>
        <charset val="134"/>
      </rPr>
      <t>R&amp;D</t>
    </r>
    <r>
      <rPr>
        <sz val="11"/>
        <color rgb="FF231F20"/>
        <rFont val="宋体"/>
        <charset val="134"/>
      </rPr>
      <t>经费占比</t>
    </r>
    <r>
      <rPr>
        <sz val="11"/>
        <color rgb="FF231F20"/>
        <rFont val="Times New Roman"/>
        <charset val="134"/>
      </rPr>
      <t>A</t>
    </r>
    <r>
      <rPr>
        <vertAlign val="subscript"/>
        <sz val="11"/>
        <color rgb="FF231F20"/>
        <rFont val="Times New Roman"/>
        <charset val="134"/>
      </rPr>
      <t>16</t>
    </r>
  </si>
  <si>
    <t>旅游总收入</t>
  </si>
  <si>
    <t>R&amp;D全时当量</t>
  </si>
  <si>
    <t>万人年</t>
  </si>
  <si>
    <t>GDP</t>
  </si>
  <si>
    <t>一般财政支出</t>
  </si>
  <si>
    <t>旅游R&amp;D经费支出</t>
  </si>
  <si>
    <t>R&amp;D经费支出</t>
  </si>
  <si>
    <t>数据来源</t>
  </si>
  <si>
    <t>浙江省国民经济和社会发展统计公报</t>
  </si>
  <si>
    <t>https://www.ceicdata.com.cn/zh-hans/china/tourism-zhejiang</t>
  </si>
  <si>
    <t>https://www.stats.gov.cn/zt_18555/ztsj/kjndsj/kj2008/index.html</t>
  </si>
  <si>
    <t>https://www.macrodatas.cn/article/1147466879</t>
  </si>
  <si>
    <t>浙江省统计年鉴</t>
  </si>
  <si>
    <t>https://www.gotohui.com/gongzi/show-1321973</t>
  </si>
  <si>
    <t>指标层</t>
  </si>
  <si>
    <r>
      <rPr>
        <sz val="9"/>
        <color theme="1"/>
        <rFont val="宋体"/>
        <charset val="134"/>
      </rPr>
      <t>人均</t>
    </r>
    <r>
      <rPr>
        <sz val="9"/>
        <color theme="1"/>
        <rFont val="Times New Roman"/>
        <charset val="134"/>
      </rPr>
      <t>GDP</t>
    </r>
    <r>
      <rPr>
        <sz val="9"/>
        <color theme="1"/>
        <rFont val="宋体"/>
        <charset val="134"/>
      </rPr>
      <t>增速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</t>
    </r>
  </si>
  <si>
    <r>
      <rPr>
        <sz val="9"/>
        <color theme="1"/>
        <rFont val="宋体"/>
        <charset val="134"/>
      </rPr>
      <t>人口自然增长率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2</t>
    </r>
  </si>
  <si>
    <r>
      <rPr>
        <sz val="9"/>
        <color theme="1"/>
        <rFont val="宋体"/>
        <charset val="134"/>
      </rPr>
      <t>城镇化水平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3</t>
    </r>
  </si>
  <si>
    <r>
      <rPr>
        <sz val="9"/>
        <color rgb="FF231F20"/>
        <rFont val="宋体"/>
        <charset val="134"/>
      </rPr>
      <t>废水排放总量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4</t>
    </r>
  </si>
  <si>
    <t>万吨</t>
  </si>
  <si>
    <r>
      <rPr>
        <sz val="9"/>
        <color rgb="FF231F20"/>
        <rFont val="Times New Roman"/>
        <charset val="134"/>
      </rPr>
      <t>SO2</t>
    </r>
    <r>
      <rPr>
        <sz val="9"/>
        <color rgb="FF231F20"/>
        <rFont val="宋体"/>
        <charset val="134"/>
      </rPr>
      <t>排放总量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5</t>
    </r>
  </si>
  <si>
    <t>吨</t>
  </si>
  <si>
    <r>
      <rPr>
        <sz val="9"/>
        <color rgb="FF231F20"/>
        <rFont val="宋体"/>
        <charset val="134"/>
      </rPr>
      <t>固体废弃物排放量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6</t>
    </r>
  </si>
  <si>
    <r>
      <rPr>
        <sz val="9"/>
        <color rgb="FF231F20"/>
        <rFont val="宋体"/>
        <charset val="134"/>
      </rPr>
      <t>森林覆盖率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7</t>
    </r>
  </si>
  <si>
    <r>
      <rPr>
        <sz val="9"/>
        <color rgb="FF231F20"/>
        <rFont val="宋体"/>
        <charset val="134"/>
      </rPr>
      <t>绿地园林面积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8</t>
    </r>
  </si>
  <si>
    <t>公顷</t>
  </si>
  <si>
    <r>
      <rPr>
        <sz val="9"/>
        <color rgb="FF231F20"/>
        <rFont val="宋体"/>
        <charset val="134"/>
      </rPr>
      <t>人均公园绿地面积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9</t>
    </r>
  </si>
  <si>
    <t>㎡</t>
  </si>
  <si>
    <r>
      <rPr>
        <sz val="9"/>
        <color theme="1"/>
        <rFont val="宋体"/>
        <charset val="134"/>
      </rPr>
      <t>人均水资源总量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10</t>
    </r>
  </si>
  <si>
    <t xml:space="preserve">2326.92
</t>
  </si>
  <si>
    <t>m³（常住人口）</t>
  </si>
  <si>
    <r>
      <rPr>
        <sz val="9"/>
        <color theme="1"/>
        <rFont val="宋体"/>
        <charset val="134"/>
      </rPr>
      <t>人均耕地面积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11</t>
    </r>
  </si>
  <si>
    <t>公顷（户籍人口）</t>
  </si>
  <si>
    <r>
      <rPr>
        <sz val="9"/>
        <color theme="1"/>
        <rFont val="宋体"/>
        <charset val="134"/>
      </rPr>
      <t>人均林地面积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12</t>
    </r>
  </si>
  <si>
    <r>
      <rPr>
        <sz val="9"/>
        <color rgb="FF231F20"/>
        <rFont val="宋体"/>
        <charset val="134"/>
      </rPr>
      <t>城镇生活污水处理率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13</t>
    </r>
  </si>
  <si>
    <r>
      <rPr>
        <sz val="9"/>
        <color rgb="FF231F20"/>
        <rFont val="宋体"/>
        <charset val="134"/>
      </rPr>
      <t>生活垃圾无害化处理率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14</t>
    </r>
  </si>
  <si>
    <r>
      <rPr>
        <sz val="9"/>
        <color rgb="FF231F20"/>
        <rFont val="宋体"/>
        <charset val="134"/>
      </rPr>
      <t>固体废物综合利用率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15</t>
    </r>
  </si>
  <si>
    <r>
      <rPr>
        <sz val="9"/>
        <color rgb="FF231F20"/>
        <rFont val="宋体"/>
        <charset val="134"/>
      </rPr>
      <t>环保支出占</t>
    </r>
    <r>
      <rPr>
        <sz val="9"/>
        <color rgb="FF231F20"/>
        <rFont val="Times New Roman"/>
        <charset val="134"/>
      </rPr>
      <t>GDP</t>
    </r>
    <r>
      <rPr>
        <sz val="9"/>
        <color rgb="FF231F20"/>
        <rFont val="宋体"/>
        <charset val="134"/>
      </rPr>
      <t>比重</t>
    </r>
    <r>
      <rPr>
        <sz val="9"/>
        <color theme="1"/>
        <rFont val="Times New Roman"/>
        <charset val="134"/>
      </rPr>
      <t>B</t>
    </r>
    <r>
      <rPr>
        <vertAlign val="subscript"/>
        <sz val="9"/>
        <color theme="1"/>
        <rFont val="Times New Roman"/>
        <charset val="134"/>
      </rPr>
      <t>16</t>
    </r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</si>
  <si>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</si>
  <si>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</si>
  <si>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</si>
  <si>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</si>
  <si>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</si>
  <si>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</si>
  <si>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</si>
  <si>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</si>
  <si>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</si>
  <si>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</si>
  <si>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</si>
  <si>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浙江省占全国（2010年）</t>
  </si>
  <si>
    <t>浙江省（2010年）</t>
  </si>
  <si>
    <t>浙江省（2009年）</t>
  </si>
  <si>
    <t>全国（2010）</t>
  </si>
  <si>
    <t>备注</t>
  </si>
  <si>
    <r>
      <rPr>
        <sz val="9"/>
        <color rgb="FF000000"/>
        <rFont val="宋体"/>
        <charset val="134"/>
      </rPr>
      <t>国内旅游收入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1</t>
    </r>
  </si>
  <si>
    <t>温州市统计年鉴有各个市的</t>
  </si>
  <si>
    <r>
      <rPr>
        <sz val="9"/>
        <color rgb="FF000000"/>
        <rFont val="宋体"/>
        <charset val="134"/>
      </rPr>
      <t>旅游外汇收入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2</t>
    </r>
  </si>
  <si>
    <r>
      <rPr>
        <sz val="9"/>
        <color rgb="FF000000"/>
        <rFont val="宋体"/>
        <charset val="134"/>
      </rPr>
      <t>国内</t>
    </r>
    <r>
      <rPr>
        <sz val="9"/>
        <color rgb="FF000000"/>
        <rFont val="宋体"/>
        <charset val="134"/>
      </rPr>
      <t>游客接待量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3</t>
    </r>
  </si>
  <si>
    <t>万人次</t>
  </si>
  <si>
    <r>
      <rPr>
        <sz val="9"/>
        <color rgb="FF000000"/>
        <rFont val="宋体"/>
        <charset val="134"/>
      </rPr>
      <t>入境游客接待量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4</t>
    </r>
  </si>
  <si>
    <r>
      <rPr>
        <sz val="9"/>
        <color rgb="FF000000"/>
        <rFont val="宋体"/>
        <charset val="134"/>
      </rPr>
      <t>旅行社营业收入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5</t>
    </r>
  </si>
  <si>
    <r>
      <rPr>
        <sz val="9"/>
        <color rgb="FF000000"/>
        <rFont val="宋体"/>
        <charset val="134"/>
      </rPr>
      <t>星级酒店营业收入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6</t>
    </r>
  </si>
  <si>
    <r>
      <rPr>
        <sz val="9"/>
        <color rgb="FF000000"/>
        <rFont val="宋体"/>
        <charset val="134"/>
      </rPr>
      <t>旅行社数量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7</t>
    </r>
  </si>
  <si>
    <r>
      <rPr>
        <sz val="9"/>
        <color rgb="FF000000"/>
        <rFont val="宋体"/>
        <charset val="134"/>
      </rPr>
      <t>星级酒店数量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8</t>
    </r>
  </si>
  <si>
    <r>
      <rPr>
        <sz val="11"/>
        <color theme="1"/>
        <rFont val="宋体"/>
        <charset val="134"/>
        <scheme val="minor"/>
      </rPr>
      <t>温州市统计年鉴有各个市的</t>
    </r>
    <r>
      <rPr>
        <b/>
        <sz val="11"/>
        <color theme="1"/>
        <rFont val="宋体"/>
        <charset val="134"/>
        <scheme val="minor"/>
      </rPr>
      <t>星级饭店数</t>
    </r>
  </si>
  <si>
    <r>
      <rPr>
        <sz val="9"/>
        <color rgb="FF000000"/>
        <rFont val="宋体"/>
        <charset val="134"/>
      </rPr>
      <t>旅行社职工人数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9</t>
    </r>
  </si>
  <si>
    <r>
      <rPr>
        <sz val="9"/>
        <color rgb="FF000000"/>
        <rFont val="宋体"/>
        <charset val="134"/>
      </rPr>
      <t>星级酒店从业人员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10</t>
    </r>
  </si>
  <si>
    <r>
      <rPr>
        <sz val="9"/>
        <color rgb="FF231F20"/>
        <rFont val="宋体"/>
        <charset val="134"/>
      </rPr>
      <t>国内旅游收入增长率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11</t>
    </r>
  </si>
  <si>
    <r>
      <rPr>
        <sz val="9"/>
        <color rgb="FF231F20"/>
        <rFont val="宋体"/>
        <charset val="134"/>
      </rPr>
      <t>旅游外汇收入增长率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12</t>
    </r>
  </si>
  <si>
    <r>
      <rPr>
        <sz val="9"/>
        <color rgb="FF231F20"/>
        <rFont val="宋体"/>
        <charset val="134"/>
      </rPr>
      <t>国内游客数量增长率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13</t>
    </r>
  </si>
  <si>
    <r>
      <rPr>
        <sz val="9"/>
        <color rgb="FF231F20"/>
        <rFont val="宋体"/>
        <charset val="134"/>
      </rPr>
      <t>入境游客数量增长率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14</t>
    </r>
  </si>
  <si>
    <r>
      <rPr>
        <sz val="9"/>
        <color rgb="FF231F20"/>
        <rFont val="宋体"/>
        <charset val="134"/>
      </rPr>
      <t>旅游</t>
    </r>
    <r>
      <rPr>
        <sz val="9"/>
        <color rgb="FF231F20"/>
        <rFont val="Times New Roman"/>
        <charset val="134"/>
      </rPr>
      <t>R&amp;D</t>
    </r>
    <r>
      <rPr>
        <sz val="9"/>
        <color rgb="FF231F20"/>
        <rFont val="宋体"/>
        <charset val="134"/>
      </rPr>
      <t>全时当量</t>
    </r>
    <r>
      <rPr>
        <sz val="9"/>
        <color rgb="FF231F20"/>
        <rFont val="Times New Roman"/>
        <charset val="134"/>
      </rPr>
      <t>A</t>
    </r>
    <r>
      <rPr>
        <vertAlign val="subscript"/>
        <sz val="9"/>
        <color rgb="FF231F20"/>
        <rFont val="Times New Roman"/>
        <charset val="134"/>
      </rPr>
      <t>15</t>
    </r>
  </si>
  <si>
    <r>
      <rPr>
        <sz val="9"/>
        <color rgb="FF231F20"/>
        <rFont val="FZSSK--GBK1-0"/>
        <charset val="134"/>
      </rPr>
      <t>旅游</t>
    </r>
    <r>
      <rPr>
        <sz val="9"/>
        <color rgb="FF231F20"/>
        <rFont val="Times New Roman"/>
        <charset val="134"/>
      </rPr>
      <t>R&amp;D</t>
    </r>
    <r>
      <rPr>
        <sz val="9"/>
        <color rgb="FF231F20"/>
        <rFont val="FZSSK--GBK1-0"/>
        <charset val="134"/>
      </rPr>
      <t>经费</t>
    </r>
    <r>
      <rPr>
        <sz val="9"/>
        <color rgb="FF231F20"/>
        <rFont val="FZSSK--GBK1-0"/>
        <charset val="134"/>
      </rPr>
      <t>占比</t>
    </r>
    <r>
      <rPr>
        <sz val="9"/>
        <color rgb="FF231F20"/>
        <rFont val="Times New Roman"/>
        <charset val="134"/>
      </rPr>
      <t>A</t>
    </r>
    <r>
      <rPr>
        <vertAlign val="subscript"/>
        <sz val="9"/>
        <color rgb="FF231F20"/>
        <rFont val="Times New Roman"/>
        <charset val="134"/>
      </rPr>
      <t>16</t>
    </r>
  </si>
  <si>
    <r>
      <rPr>
        <sz val="9"/>
        <color rgb="FFFF0000"/>
        <rFont val="宋体"/>
        <charset val="134"/>
      </rPr>
      <t>人均</t>
    </r>
    <r>
      <rPr>
        <sz val="9"/>
        <color rgb="FFFF0000"/>
        <rFont val="Times New Roman"/>
        <charset val="134"/>
      </rPr>
      <t>GDP</t>
    </r>
    <r>
      <rPr>
        <sz val="9"/>
        <color rgb="FFFF0000"/>
        <rFont val="宋体"/>
        <charset val="134"/>
      </rPr>
      <t>增速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</t>
    </r>
  </si>
  <si>
    <t>%（常住人口）</t>
  </si>
  <si>
    <r>
      <rPr>
        <sz val="9"/>
        <color rgb="FFFF0000"/>
        <rFont val="宋体"/>
        <charset val="134"/>
      </rPr>
      <t>人口自然增长率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2</t>
    </r>
  </si>
  <si>
    <r>
      <rPr>
        <sz val="9"/>
        <color rgb="FFFF0000"/>
        <rFont val="宋体"/>
        <charset val="134"/>
      </rPr>
      <t>城镇化水平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3</t>
    </r>
  </si>
  <si>
    <r>
      <rPr>
        <sz val="9"/>
        <color rgb="FFFF0000"/>
        <rFont val="宋体"/>
        <charset val="134"/>
      </rPr>
      <t>废水排放总量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4</t>
    </r>
  </si>
  <si>
    <r>
      <rPr>
        <sz val="9"/>
        <color rgb="FFFF0000"/>
        <rFont val="Times New Roman"/>
        <charset val="134"/>
      </rPr>
      <t>SO2</t>
    </r>
    <r>
      <rPr>
        <sz val="9"/>
        <color rgb="FFFF0000"/>
        <rFont val="宋体"/>
        <charset val="134"/>
      </rPr>
      <t>排放总量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5</t>
    </r>
  </si>
  <si>
    <r>
      <rPr>
        <sz val="9"/>
        <color rgb="FFFF0000"/>
        <rFont val="宋体"/>
        <charset val="134"/>
      </rPr>
      <t>固体废弃物排放量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6</t>
    </r>
  </si>
  <si>
    <r>
      <rPr>
        <sz val="9"/>
        <color rgb="FFFF0000"/>
        <rFont val="宋体"/>
        <charset val="134"/>
      </rPr>
      <t>森林覆盖率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7</t>
    </r>
  </si>
  <si>
    <r>
      <rPr>
        <sz val="9"/>
        <color rgb="FFFF0000"/>
        <rFont val="宋体"/>
        <charset val="134"/>
      </rPr>
      <t>绿地园林面积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8</t>
    </r>
  </si>
  <si>
    <r>
      <rPr>
        <sz val="11"/>
        <color theme="1"/>
        <rFont val="宋体"/>
        <charset val="134"/>
        <scheme val="minor"/>
      </rPr>
      <t>温州市统计年鉴有各个市的</t>
    </r>
    <r>
      <rPr>
        <b/>
        <sz val="11"/>
        <color theme="1"/>
        <rFont val="宋体"/>
        <charset val="134"/>
        <scheme val="minor"/>
      </rPr>
      <t>绿地面积</t>
    </r>
  </si>
  <si>
    <r>
      <rPr>
        <sz val="9"/>
        <color rgb="FFFF0000"/>
        <rFont val="宋体"/>
        <charset val="134"/>
      </rPr>
      <t>人均公园绿地面积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9</t>
    </r>
  </si>
  <si>
    <r>
      <rPr>
        <sz val="9"/>
        <color rgb="FFFF0000"/>
        <rFont val="宋体"/>
        <charset val="134"/>
      </rPr>
      <t>人均水资源总量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10</t>
    </r>
  </si>
  <si>
    <r>
      <rPr>
        <sz val="9"/>
        <color rgb="FFFF0000"/>
        <rFont val="宋体"/>
        <charset val="134"/>
      </rPr>
      <t>人均耕地面积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11</t>
    </r>
  </si>
  <si>
    <r>
      <rPr>
        <sz val="9"/>
        <color rgb="FFFF0000"/>
        <rFont val="宋体"/>
        <charset val="134"/>
      </rPr>
      <t>人均林地面积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12</t>
    </r>
  </si>
  <si>
    <r>
      <rPr>
        <sz val="9"/>
        <color rgb="FFFF0000"/>
        <rFont val="宋体"/>
        <charset val="134"/>
      </rPr>
      <t>城镇生活污水处理率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13</t>
    </r>
  </si>
  <si>
    <r>
      <rPr>
        <sz val="9"/>
        <color rgb="FFFF0000"/>
        <rFont val="宋体"/>
        <charset val="134"/>
      </rPr>
      <t>生活垃圾无害化处理率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14</t>
    </r>
  </si>
  <si>
    <r>
      <rPr>
        <sz val="9"/>
        <color rgb="FFFF0000"/>
        <rFont val="宋体"/>
        <charset val="134"/>
      </rPr>
      <t>固体废物综合利用率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15</t>
    </r>
  </si>
  <si>
    <t>%（工业）</t>
  </si>
  <si>
    <r>
      <rPr>
        <sz val="9"/>
        <color rgb="FFFF0000"/>
        <rFont val="宋体"/>
        <charset val="134"/>
      </rPr>
      <t>环保支出占</t>
    </r>
    <r>
      <rPr>
        <sz val="9"/>
        <color rgb="FFFF0000"/>
        <rFont val="Times New Roman"/>
        <charset val="134"/>
      </rPr>
      <t>GDP</t>
    </r>
    <r>
      <rPr>
        <sz val="9"/>
        <color rgb="FFFF0000"/>
        <rFont val="宋体"/>
        <charset val="134"/>
      </rPr>
      <t>比重</t>
    </r>
    <r>
      <rPr>
        <sz val="9"/>
        <color rgb="FFFF0000"/>
        <rFont val="Times New Roman"/>
        <charset val="134"/>
      </rPr>
      <t>B</t>
    </r>
    <r>
      <rPr>
        <vertAlign val="subscript"/>
        <sz val="9"/>
        <color rgb="FFFF0000"/>
        <rFont val="Times New Roman"/>
        <charset val="134"/>
      </rPr>
      <t>16</t>
    </r>
  </si>
  <si>
    <t>环保支出</t>
  </si>
  <si>
    <r>
      <rPr>
        <sz val="11"/>
        <color theme="1"/>
        <rFont val="宋体"/>
        <charset val="134"/>
        <scheme val="minor"/>
      </rPr>
      <t>温州市统计年鉴有各个市的</t>
    </r>
    <r>
      <rPr>
        <b/>
        <sz val="11"/>
        <color theme="1"/>
        <rFont val="宋体"/>
        <charset val="134"/>
        <scheme val="minor"/>
      </rPr>
      <t>环境保护支出</t>
    </r>
  </si>
  <si>
    <r>
      <rPr>
        <sz val="11"/>
        <color theme="1"/>
        <rFont val="宋体"/>
        <charset val="134"/>
        <scheme val="minor"/>
      </rPr>
      <t>温州市统计年鉴有各个市的</t>
    </r>
    <r>
      <rPr>
        <b/>
        <sz val="11"/>
        <color theme="1"/>
        <rFont val="宋体"/>
        <charset val="134"/>
        <scheme val="minor"/>
      </rPr>
      <t>地方财政一般预算支出</t>
    </r>
  </si>
  <si>
    <r>
      <rPr>
        <sz val="11"/>
        <color theme="1"/>
        <rFont val="宋体"/>
        <charset val="134"/>
        <scheme val="minor"/>
      </rPr>
      <t>https://tjj.zj.gov.cn/art/2020/6/19/art_1229129205_519809.html
https://tjj.zj.gov.cn/art/2014/9/11/art_1530870_20981106.html
https://www.stats.gov.cn/zt_18555/ztsj/kjndsj/kj2010/202303/t20230303_1925192.html
温州市统计年鉴有各个市的</t>
    </r>
    <r>
      <rPr>
        <b/>
        <sz val="11"/>
        <color theme="1"/>
        <rFont val="宋体"/>
        <charset val="134"/>
        <scheme val="minor"/>
      </rPr>
      <t>R&amp;D经费支出(不准确）</t>
    </r>
  </si>
  <si>
    <t>2009（占浙江的比重）</t>
  </si>
  <si>
    <t>https://www.stats.gov.cn/zt_18555/ztsj/kjndsj/kj2010/202303/t20230303_1925198.html</t>
  </si>
  <si>
    <r>
      <rPr>
        <sz val="11"/>
        <color theme="1"/>
        <rFont val="宋体"/>
        <charset val="134"/>
        <scheme val="minor"/>
      </rPr>
      <t>温州市统计年鉴有各个市</t>
    </r>
    <r>
      <rPr>
        <b/>
        <sz val="11"/>
        <color theme="1"/>
        <rFont val="宋体"/>
        <charset val="134"/>
        <scheme val="minor"/>
      </rPr>
      <t>地区生产总值</t>
    </r>
  </si>
  <si>
    <t>常住人口数</t>
  </si>
  <si>
    <t>人均GDP</t>
  </si>
  <si>
    <t>万元/人</t>
  </si>
  <si>
    <t>人均GDP增速</t>
  </si>
  <si>
    <t>耕地面积</t>
  </si>
  <si>
    <t>万亩</t>
  </si>
  <si>
    <t>https://zrzyt.zj.gov.cn/art/2011/12/1/art_1289935_5609110.html：2009年国家开展了第二次全国土地调查，因此2009、2010、2011年土地利用变化情况数据以第二次全国土地调查成果为准，第二次全国土地调查成果已于2014年6月19日在《关于浙江省第二次土地调查主要数据成果的公报》中发布</t>
  </si>
  <si>
    <t>万公顷</t>
  </si>
  <si>
    <t>林地面积</t>
  </si>
  <si>
    <t>公园绿地面积</t>
  </si>
  <si>
    <r>
      <rPr>
        <sz val="11"/>
        <color theme="1"/>
        <rFont val="宋体"/>
        <charset val="134"/>
        <scheme val="minor"/>
      </rPr>
      <t>温州市统计年鉴有各个市的</t>
    </r>
    <r>
      <rPr>
        <b/>
        <sz val="11"/>
        <color theme="1"/>
        <rFont val="宋体"/>
        <charset val="134"/>
        <scheme val="minor"/>
      </rPr>
      <t>公园绿地面积</t>
    </r>
  </si>
  <si>
    <t>户籍人口</t>
  </si>
  <si>
    <t>固体废物产生量</t>
  </si>
  <si>
    <t>固体废物综合利用量</t>
  </si>
  <si>
    <t>固体废物贮存量</t>
  </si>
  <si>
    <t>固体废物处置量</t>
  </si>
  <si>
    <t>水资源总量</t>
  </si>
  <si>
    <t>万立方米</t>
  </si>
  <si>
    <r>
      <rPr>
        <sz val="11"/>
        <color theme="1"/>
        <rFont val="宋体"/>
        <charset val="134"/>
        <scheme val="minor"/>
      </rPr>
      <t>温州市统计年鉴有各个市的</t>
    </r>
    <r>
      <rPr>
        <b/>
        <sz val="11"/>
        <color theme="1"/>
        <rFont val="宋体"/>
        <charset val="134"/>
        <scheme val="minor"/>
      </rPr>
      <t>水资源总量</t>
    </r>
  </si>
  <si>
    <t>废水排放总量包括生产废水和生活污水</t>
  </si>
  <si>
    <t>数据来源：</t>
  </si>
  <si>
    <t>各市统计年鉴</t>
  </si>
  <si>
    <r>
      <rPr>
        <sz val="11"/>
        <color theme="1"/>
        <rFont val="宋体"/>
        <charset val="134"/>
        <scheme val="minor"/>
      </rPr>
      <t>国民经济和社会发展统计公报【</t>
    </r>
    <r>
      <rPr>
        <sz val="11"/>
        <color rgb="FFFF0000"/>
        <rFont val="宋体"/>
        <charset val="134"/>
        <scheme val="minor"/>
      </rPr>
      <t>户籍人口，</t>
    </r>
    <r>
      <rPr>
        <sz val="11"/>
        <color theme="1"/>
        <rFont val="宋体"/>
        <charset val="134"/>
        <scheme val="minor"/>
      </rPr>
      <t>水资源，耕地面积，林地面积，森林覆盖率，人均公园绿地面积】</t>
    </r>
  </si>
  <si>
    <t>旅游概览</t>
  </si>
  <si>
    <t>水资源公报【水资源总量，人均拥有水资源量】</t>
  </si>
  <si>
    <t>环境状况公报/环境质量概要【GDP，污染物排放状况：二氧化硫排放总量、废水排放总量，污染治理投资，（工业）固体废物：综合利用率、排放量，城镇生活污水集中处理率，生活垃圾无害化处理率，水资源，农用地：耕地面积、林地面积，森林覆盖率】</t>
  </si>
  <si>
    <t>土地利用总体规划</t>
  </si>
  <si>
    <t>第x次全国国土调查主要数据公报</t>
  </si>
  <si>
    <t>森林资源与生态状况公报（林地面积、森林覆盖率）</t>
  </si>
  <si>
    <t>R&amp;D普查公报（https://www.stats.gov.cn/sj/tjgb/rdpcgb/）</t>
  </si>
  <si>
    <t>中国科技统计年鉴【R&amp;D全时当量、(&amp;D经费内部支出】</t>
  </si>
  <si>
    <t>各市第二次全国国土调查主要数据公报【耕地、林地面积】，适用于2009、2010、2011年</t>
  </si>
  <si>
    <t>2010年度全国星级饭店统计公报</t>
  </si>
  <si>
    <t>浙江省嘉兴市土地利用总体规划(1997-2010)</t>
  </si>
  <si>
    <t>浙江省占全国（2014年）</t>
  </si>
  <si>
    <t>浙江省（2014年）</t>
  </si>
  <si>
    <t>全国（2014）</t>
  </si>
  <si>
    <r>
      <rPr>
        <sz val="9"/>
        <color rgb="FF231F20"/>
        <rFont val="宋体"/>
        <charset val="134"/>
      </rPr>
      <t>旅游</t>
    </r>
    <r>
      <rPr>
        <sz val="9"/>
        <color rgb="FF231F20"/>
        <rFont val="宋体"/>
        <charset val="134"/>
      </rPr>
      <t>外汇</t>
    </r>
    <r>
      <rPr>
        <sz val="9"/>
        <color rgb="FF231F20"/>
        <rFont val="宋体"/>
        <charset val="134"/>
      </rPr>
      <t>收入增长率</t>
    </r>
    <r>
      <rPr>
        <sz val="9"/>
        <color rgb="FF000000"/>
        <rFont val="Times New Roman"/>
        <charset val="134"/>
      </rPr>
      <t>A</t>
    </r>
    <r>
      <rPr>
        <vertAlign val="subscript"/>
        <sz val="9"/>
        <color rgb="FF000000"/>
        <rFont val="Times New Roman"/>
        <charset val="134"/>
      </rPr>
      <t>12</t>
    </r>
  </si>
  <si>
    <r>
      <rPr>
        <sz val="9"/>
        <color rgb="FF231F20"/>
        <rFont val="FZSSK--GBK1-0"/>
        <charset val="134"/>
      </rPr>
      <t>旅游</t>
    </r>
    <r>
      <rPr>
        <sz val="9"/>
        <color rgb="FF231F20"/>
        <rFont val="Times New Roman"/>
        <charset val="134"/>
      </rPr>
      <t>R&amp;D</t>
    </r>
    <r>
      <rPr>
        <sz val="9"/>
        <color rgb="FF231F20"/>
        <rFont val="FZSSK--GBK1-0"/>
        <charset val="134"/>
      </rPr>
      <t>全时当量</t>
    </r>
    <r>
      <rPr>
        <sz val="9"/>
        <color rgb="FF231F20"/>
        <rFont val="Times New Roman"/>
        <charset val="134"/>
      </rPr>
      <t>A</t>
    </r>
    <r>
      <rPr>
        <vertAlign val="subscript"/>
        <sz val="9"/>
        <color rgb="FF231F20"/>
        <rFont val="Times New Roman"/>
        <charset val="134"/>
      </rPr>
      <t>15</t>
    </r>
  </si>
  <si>
    <r>
      <rPr>
        <sz val="11"/>
        <color theme="1"/>
        <rFont val="宋体"/>
        <charset val="134"/>
        <scheme val="minor"/>
      </rPr>
      <t>https://www.stats.gov.cn/sj/tjgb/rdpcgb/qgkjjftrtjgb/202302/t20230206_1902124.html
温州市统计年鉴有各个市的</t>
    </r>
    <r>
      <rPr>
        <b/>
        <sz val="11"/>
        <color theme="1"/>
        <rFont val="宋体"/>
        <charset val="134"/>
        <scheme val="minor"/>
      </rPr>
      <t>R&amp;D经费支出</t>
    </r>
  </si>
  <si>
    <t>森林面积</t>
  </si>
  <si>
    <t>土地面积</t>
  </si>
  <si>
    <t>平方公里</t>
  </si>
  <si>
    <t>国内旅游收入</t>
  </si>
  <si>
    <t>旅游外汇收入</t>
  </si>
  <si>
    <t>国内游客接待量</t>
  </si>
  <si>
    <t>入境游客接待量</t>
  </si>
  <si>
    <t>2014年中国旅游业统计公报【全国旅行社数量、营业收入】</t>
  </si>
  <si>
    <t>浙江省占全国（2018年）</t>
  </si>
  <si>
    <t>浙江省（2018年）</t>
  </si>
  <si>
    <t>全国（2018）</t>
  </si>
  <si>
    <t>该处缺少2018年浙江省旅行社数量的数据，因此使用2019年的</t>
  </si>
  <si>
    <t>没有找到明确数据的就使用第三次全国国土调查的数据</t>
  </si>
  <si>
    <t>城市建设状况公报【人均公园绿地面积】</t>
  </si>
  <si>
    <t>固体废物污染环境防治信息公告【一般工业固体废物】</t>
  </si>
  <si>
    <t>土地利用现状情况</t>
  </si>
  <si>
    <t>浙江省2022年土地利用变化情况【各个市的土地利用情况】</t>
  </si>
  <si>
    <t>中华人民共和国文化和旅游部2018年文化和旅游发展统计公报</t>
  </si>
  <si>
    <t>https://www.ceicdata.com.cn/zh-hans/china/starrated-hotel-zhejiang【星级饭店从业人数】</t>
  </si>
  <si>
    <t>2018年度全国星级饭店统计报告【全国/省/市星级饭店数量、营业收入】</t>
  </si>
  <si>
    <t>https://www.ceicdata.com.cn/zh-hans/china/tourism-industry-overview/cn-travel-agency-number-of-employee【旅行社从业人数】</t>
  </si>
  <si>
    <t>浙江省占全国（2022年）</t>
  </si>
  <si>
    <t>浙江省（2022年）</t>
  </si>
  <si>
    <t>全国（2022）</t>
  </si>
  <si>
    <t>耕地面积（水田+旱地）</t>
  </si>
  <si>
    <r>
      <rPr>
        <sz val="11"/>
        <color theme="1"/>
        <rFont val="宋体"/>
        <charset val="134"/>
        <scheme val="minor"/>
      </rPr>
      <t>省/市国民经济和社会发展统计公报【</t>
    </r>
    <r>
      <rPr>
        <sz val="11"/>
        <color rgb="FFFF0000"/>
        <rFont val="宋体"/>
        <charset val="134"/>
        <scheme val="minor"/>
      </rPr>
      <t>户籍人口，</t>
    </r>
    <r>
      <rPr>
        <sz val="11"/>
        <color theme="1"/>
        <rFont val="宋体"/>
        <charset val="134"/>
        <scheme val="minor"/>
      </rPr>
      <t>水资源，耕地面积，林地面积，森林覆盖率，人均公园绿地面积】</t>
    </r>
  </si>
  <si>
    <t>中国科技统计年鉴【R&amp;D全时当量、R&amp;D经费内部支出】</t>
  </si>
  <si>
    <t>中华人民共和国文化和旅游部2022年文化和旅游发展统计公报</t>
  </si>
  <si>
    <t>2022年度全国旅行社统计调查报告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</si>
</sst>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0_ "/>
  </numFmts>
  <fonts count="45">
    <font>
      <sz val="11"/>
      <color theme="1"/>
      <name val="宋体"/>
      <charset val="134"/>
      <scheme val="minor"/>
    </font>
    <font>
      <sz val="11"/>
      <color rgb="FF3222FE"/>
      <name val="宋体"/>
      <charset val="134"/>
      <scheme val="minor"/>
    </font>
    <font>
      <sz val="9"/>
      <color rgb="FF000000"/>
      <name val="宋体"/>
      <charset val="134"/>
    </font>
    <font>
      <sz val="9"/>
      <color rgb="FF231F20"/>
      <name val="宋体"/>
      <charset val="134"/>
    </font>
    <font>
      <sz val="9"/>
      <color rgb="FF231F20"/>
      <name val="FZSSK--GBK1-0"/>
      <charset val="134"/>
    </font>
    <font>
      <sz val="9"/>
      <color rgb="FFFF0000"/>
      <name val="宋体"/>
      <charset val="134"/>
    </font>
    <font>
      <sz val="9"/>
      <color rgb="FFFF0000"/>
      <name val="Times New Roman"/>
      <charset val="134"/>
    </font>
    <font>
      <sz val="9"/>
      <color rgb="FF454545"/>
      <name val="仿宋_GB2312"/>
      <charset val="134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9"/>
      <color theme="1"/>
      <name val="宋体"/>
      <charset val="134"/>
    </font>
    <font>
      <sz val="9"/>
      <color rgb="FF231F20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231F2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Times New Roman"/>
      <charset val="134"/>
    </font>
    <font>
      <vertAlign val="subscript"/>
      <sz val="11"/>
      <color rgb="FF000000"/>
      <name val="Times New Roman"/>
      <charset val="134"/>
    </font>
    <font>
      <vertAlign val="subscript"/>
      <sz val="9"/>
      <color rgb="FFFF0000"/>
      <name val="Times New Roman"/>
      <charset val="134"/>
    </font>
    <font>
      <sz val="9"/>
      <color rgb="FF000000"/>
      <name val="Times New Roman"/>
      <charset val="134"/>
    </font>
    <font>
      <vertAlign val="subscript"/>
      <sz val="9"/>
      <color rgb="FF000000"/>
      <name val="Times New Roman"/>
      <charset val="134"/>
    </font>
    <font>
      <sz val="9"/>
      <color theme="1"/>
      <name val="Times New Roman"/>
      <charset val="134"/>
    </font>
    <font>
      <vertAlign val="subscript"/>
      <sz val="9"/>
      <color theme="1"/>
      <name val="Times New Roman"/>
      <charset val="134"/>
    </font>
    <font>
      <sz val="11"/>
      <color rgb="FF231F20"/>
      <name val="Times New Roman"/>
      <charset val="134"/>
    </font>
    <font>
      <vertAlign val="subscript"/>
      <sz val="11"/>
      <color rgb="FF231F20"/>
      <name val="Times New Roman"/>
      <charset val="134"/>
    </font>
    <font>
      <sz val="11"/>
      <color rgb="FFFF0000"/>
      <name val="宋体"/>
      <charset val="134"/>
      <scheme val="minor"/>
    </font>
    <font>
      <vertAlign val="subscript"/>
      <sz val="9"/>
      <color rgb="FF231F2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7" borderId="8" applyNumberFormat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8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176" fontId="0" fillId="2" borderId="0" xfId="0" applyNumberFormat="1" applyFill="1" applyAlignment="1">
      <alignment horizontal="center"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0" fillId="0" borderId="0" xfId="6">
      <alignment vertical="center"/>
    </xf>
    <xf numFmtId="178" fontId="0" fillId="0" borderId="0" xfId="0" applyNumberFormat="1">
      <alignment vertical="center"/>
    </xf>
    <xf numFmtId="178" fontId="1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left" vertical="top" wrapText="1"/>
    </xf>
    <xf numFmtId="178" fontId="0" fillId="0" borderId="0" xfId="0" applyNumberFormat="1" applyAlignment="1">
      <alignment horizontal="center" vertical="center"/>
    </xf>
    <xf numFmtId="178" fontId="3" fillId="0" borderId="0" xfId="0" applyNumberFormat="1" applyFont="1" applyAlignment="1">
      <alignment horizontal="left" vertical="top" wrapText="1"/>
    </xf>
    <xf numFmtId="178" fontId="4" fillId="0" borderId="0" xfId="0" applyNumberFormat="1" applyFont="1" applyAlignment="1">
      <alignment horizontal="left" vertical="top" wrapText="1"/>
    </xf>
    <xf numFmtId="176" fontId="0" fillId="3" borderId="0" xfId="0" applyNumberFormat="1" applyFill="1" applyAlignment="1">
      <alignment horizontal="center" vertical="center"/>
    </xf>
    <xf numFmtId="178" fontId="9" fillId="0" borderId="1" xfId="0" applyNumberFormat="1" applyFon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left" vertical="center"/>
    </xf>
    <xf numFmtId="0" fontId="10" fillId="0" borderId="0" xfId="6" applyFill="1">
      <alignment vertical="center"/>
    </xf>
    <xf numFmtId="0" fontId="1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justify"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0" fillId="4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3222FE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zrzyt.zj.gov.cn/art/2011/12/1/art_1289935_5609110.html&#65306;2009&#24180;&#22269;&#23478;&#24320;&#23637;&#20102;&#31532;&#20108;&#27425;&#20840;&#22269;&#22303;&#22320;&#35843;&#26597;&#65292;&#22240;&#27492;2009&#12289;2010&#12289;2011&#24180;&#22303;&#22320;&#21033;&#29992;&#21464;&#21270;&#24773;&#20917;&#25968;&#25454;&#20197;&#31532;&#20108;&#27425;&#20840;&#22269;&#22303;&#22320;&#35843;&#26597;&#25104;&#26524;&#20026;&#20934;&#65292;&#31532;&#20108;&#27425;&#20840;&#22269;&#22303;&#22320;&#35843;&#26597;&#25104;&#26524;&#24050;&#20110;2014&#24180;6&#26376;19&#26085;&#22312;&#12298;&#20851;&#20110;&#27993;&#27743;&#30465;&#31532;&#20108;&#27425;&#22303;&#22320;&#35843;&#26597;&#20027;&#35201;&#25968;&#25454;&#25104;&#26524;&#30340;&#20844;&#25253;&#12299;&#20013;&#21457;&#24067;" TargetMode="External"/><Relationship Id="rId1" Type="http://schemas.openxmlformats.org/officeDocument/2006/relationships/hyperlink" Target="https://www.stats.gov.cn/zt_18555/ztsj/kjndsj/kj2010/202303/t20230303_1925198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icdata.com.cn/zh-hans/china/tourism-industry-overview/cn-travel-agency-number-of-employee&#12304;&#26053;&#34892;&#31038;&#20174;&#19994;&#20154;&#25968;&#12305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zoomScale="60" zoomScaleNormal="60" workbookViewId="0">
      <pane ySplit="3" topLeftCell="A12" activePane="bottomLeft" state="frozen"/>
      <selection/>
      <selection pane="bottomLeft" activeCell="A27" sqref="A27"/>
    </sheetView>
  </sheetViews>
  <sheetFormatPr defaultColWidth="9" defaultRowHeight="14"/>
  <cols>
    <col min="1" max="1" width="25.6" customWidth="1"/>
    <col min="2" max="16" width="13" style="1" customWidth="1"/>
  </cols>
  <sheetData>
    <row r="1" ht="23" customHeight="1"/>
    <row r="2" ht="23" customHeight="1"/>
    <row r="3" ht="18" customHeight="1" spans="1:17">
      <c r="A3" s="52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t="s">
        <v>16</v>
      </c>
    </row>
    <row r="4" ht="18" customHeight="1" spans="1:17">
      <c r="A4" s="53" t="s">
        <v>17</v>
      </c>
      <c r="B4" s="6">
        <v>2040</v>
      </c>
      <c r="C4" s="6">
        <v>2424</v>
      </c>
      <c r="D4" s="6">
        <v>3046</v>
      </c>
      <c r="E4" s="6">
        <v>3785</v>
      </c>
      <c r="F4" s="6">
        <v>4476</v>
      </c>
      <c r="G4" s="6">
        <v>5202</v>
      </c>
      <c r="H4" s="6">
        <v>5947</v>
      </c>
      <c r="I4" s="6">
        <v>6720</v>
      </c>
      <c r="J4" s="6">
        <v>7600</v>
      </c>
      <c r="K4" s="6">
        <v>8764</v>
      </c>
      <c r="L4" s="6">
        <v>9834</v>
      </c>
      <c r="M4" s="6">
        <v>10727</v>
      </c>
      <c r="N4" s="6">
        <v>8264</v>
      </c>
      <c r="O4" s="6">
        <v>6772</v>
      </c>
      <c r="P4" s="6">
        <v>5982</v>
      </c>
      <c r="Q4" t="s">
        <v>18</v>
      </c>
    </row>
    <row r="5" ht="18" customHeight="1" spans="1:17">
      <c r="A5" s="53" t="s">
        <v>19</v>
      </c>
      <c r="B5" s="6">
        <v>30.2408</v>
      </c>
      <c r="C5" s="6">
        <v>32.2358</v>
      </c>
      <c r="D5" s="6">
        <v>39.302</v>
      </c>
      <c r="E5" s="6">
        <v>45.4173</v>
      </c>
      <c r="F5" s="6">
        <v>51.5174</v>
      </c>
      <c r="G5" s="6">
        <v>53.9293</v>
      </c>
      <c r="H5" s="6">
        <v>57.5348</v>
      </c>
      <c r="I5" s="6">
        <v>67.8847</v>
      </c>
      <c r="J5" s="6">
        <v>74.3063</v>
      </c>
      <c r="K5" s="6">
        <v>82.76</v>
      </c>
      <c r="L5" s="6">
        <v>25.9579</v>
      </c>
      <c r="M5" s="6">
        <v>26.6823</v>
      </c>
      <c r="N5" s="6">
        <v>1.6367</v>
      </c>
      <c r="O5" s="6">
        <v>2.0424</v>
      </c>
      <c r="P5" s="6">
        <v>1.217</v>
      </c>
      <c r="Q5" t="s">
        <v>20</v>
      </c>
    </row>
    <row r="6" ht="18" customHeight="1" spans="1:17">
      <c r="A6" s="53" t="s">
        <v>21</v>
      </c>
      <c r="B6" s="6">
        <v>20900</v>
      </c>
      <c r="C6" s="6">
        <v>24400</v>
      </c>
      <c r="D6" s="6">
        <v>29500</v>
      </c>
      <c r="E6" s="6">
        <v>34300</v>
      </c>
      <c r="F6" s="6">
        <v>39100</v>
      </c>
      <c r="G6" s="6">
        <v>43400</v>
      </c>
      <c r="H6" s="6">
        <v>47700</v>
      </c>
      <c r="I6" s="6">
        <v>53500</v>
      </c>
      <c r="J6" s="6">
        <v>58400</v>
      </c>
      <c r="K6" s="6">
        <v>64100</v>
      </c>
      <c r="L6" s="6">
        <v>69000</v>
      </c>
      <c r="M6" s="6">
        <v>73000</v>
      </c>
      <c r="N6" s="6">
        <v>57000</v>
      </c>
      <c r="O6" s="6">
        <v>41000</v>
      </c>
      <c r="P6" s="6">
        <v>37465</v>
      </c>
      <c r="Q6" s="32" t="s">
        <v>22</v>
      </c>
    </row>
    <row r="7" ht="18" customHeight="1" spans="1:17">
      <c r="A7" s="53" t="s">
        <v>23</v>
      </c>
      <c r="B7" s="6">
        <v>539.67</v>
      </c>
      <c r="C7" s="6">
        <v>570.6</v>
      </c>
      <c r="D7" s="6">
        <v>684.71</v>
      </c>
      <c r="E7" s="6">
        <v>773.69</v>
      </c>
      <c r="F7" s="6">
        <v>865.93</v>
      </c>
      <c r="G7" s="6">
        <v>866.28</v>
      </c>
      <c r="H7" s="6">
        <v>931.03</v>
      </c>
      <c r="I7" s="6">
        <v>1012</v>
      </c>
      <c r="J7" s="6">
        <v>1120.3</v>
      </c>
      <c r="K7" s="6">
        <v>1211.73</v>
      </c>
      <c r="L7" s="6">
        <v>456.8</v>
      </c>
      <c r="M7" s="6">
        <v>467.1</v>
      </c>
      <c r="N7" s="6">
        <v>38.35</v>
      </c>
      <c r="O7" s="6">
        <v>42.84</v>
      </c>
      <c r="P7" s="6">
        <v>22.06</v>
      </c>
      <c r="Q7" s="32"/>
    </row>
    <row r="8" ht="18" customHeight="1" spans="1:17">
      <c r="A8" s="53" t="s">
        <v>24</v>
      </c>
      <c r="B8" s="6">
        <v>129.646971</v>
      </c>
      <c r="C8" s="6">
        <v>145.6099</v>
      </c>
      <c r="D8" s="6">
        <v>205.6689</v>
      </c>
      <c r="E8" s="6">
        <v>236.9123</v>
      </c>
      <c r="F8" s="6">
        <v>259.9762</v>
      </c>
      <c r="G8" s="6">
        <v>240.8557</v>
      </c>
      <c r="H8" s="6">
        <v>256.6711</v>
      </c>
      <c r="I8" s="6">
        <v>258.5304</v>
      </c>
      <c r="J8" s="6">
        <v>543.9788</v>
      </c>
      <c r="K8" s="43"/>
      <c r="L8" s="43"/>
      <c r="M8" s="6">
        <v>332.2175</v>
      </c>
      <c r="N8" s="6">
        <v>132.3862</v>
      </c>
      <c r="O8" s="6">
        <v>167.3726</v>
      </c>
      <c r="P8" s="6">
        <v>161.5447</v>
      </c>
      <c r="Q8" s="32" t="s">
        <v>18</v>
      </c>
    </row>
    <row r="9" ht="18" customHeight="1" spans="1:17">
      <c r="A9" s="53" t="s">
        <v>25</v>
      </c>
      <c r="B9" s="6">
        <v>186.680531</v>
      </c>
      <c r="C9" s="6">
        <v>189.487034</v>
      </c>
      <c r="D9" s="6">
        <v>225.7313</v>
      </c>
      <c r="E9" s="6">
        <v>223.2739</v>
      </c>
      <c r="F9" s="6">
        <v>204.0983</v>
      </c>
      <c r="G9" s="6">
        <v>207.6327</v>
      </c>
      <c r="H9" s="6">
        <v>220.2524</v>
      </c>
      <c r="I9" s="6">
        <v>200.4114</v>
      </c>
      <c r="J9" s="6">
        <v>194.8065</v>
      </c>
      <c r="K9" s="6">
        <v>186.5686</v>
      </c>
      <c r="L9" s="6">
        <v>187.4634</v>
      </c>
      <c r="M9" s="6">
        <v>160.5936</v>
      </c>
      <c r="N9" s="6">
        <v>120.6133</v>
      </c>
      <c r="O9" s="6">
        <v>123.2358</v>
      </c>
      <c r="P9" s="1">
        <v>112.62</v>
      </c>
      <c r="Q9" s="32"/>
    </row>
    <row r="10" ht="18" customHeight="1" spans="1:17">
      <c r="A10" s="53" t="s">
        <v>26</v>
      </c>
      <c r="B10" s="1">
        <v>1413</v>
      </c>
      <c r="C10" s="1">
        <v>1509</v>
      </c>
      <c r="D10" s="1">
        <v>1639</v>
      </c>
      <c r="E10" s="1">
        <v>1860</v>
      </c>
      <c r="F10" s="1">
        <v>2012</v>
      </c>
      <c r="G10" s="1">
        <v>2102</v>
      </c>
      <c r="H10" s="1">
        <v>2160</v>
      </c>
      <c r="I10" s="1">
        <v>2461</v>
      </c>
      <c r="J10" s="1">
        <v>2105</v>
      </c>
      <c r="K10" s="1">
        <v>2161</v>
      </c>
      <c r="L10" s="1">
        <v>2769</v>
      </c>
      <c r="M10" s="1">
        <v>2769</v>
      </c>
      <c r="N10" s="1">
        <v>2896</v>
      </c>
      <c r="O10" s="1">
        <v>3014</v>
      </c>
      <c r="P10" s="1">
        <v>3181</v>
      </c>
      <c r="Q10" s="32" t="s">
        <v>27</v>
      </c>
    </row>
    <row r="11" ht="18" customHeight="1" spans="1:17">
      <c r="A11" s="53" t="s">
        <v>28</v>
      </c>
      <c r="B11" s="1">
        <v>1080</v>
      </c>
      <c r="C11" s="1">
        <v>1096</v>
      </c>
      <c r="D11" s="1">
        <v>1046</v>
      </c>
      <c r="E11" s="1">
        <v>991</v>
      </c>
      <c r="F11" s="1">
        <v>958</v>
      </c>
      <c r="G11" s="1">
        <v>935</v>
      </c>
      <c r="H11" s="1">
        <v>831</v>
      </c>
      <c r="I11" s="1">
        <v>765</v>
      </c>
      <c r="J11" s="1">
        <v>686</v>
      </c>
      <c r="K11" s="1">
        <v>604</v>
      </c>
      <c r="L11" s="1">
        <v>575</v>
      </c>
      <c r="M11" s="1">
        <v>528</v>
      </c>
      <c r="N11" s="1">
        <v>533</v>
      </c>
      <c r="O11" s="1">
        <v>473</v>
      </c>
      <c r="P11" s="1">
        <v>437</v>
      </c>
      <c r="Q11" s="32"/>
    </row>
    <row r="12" ht="18" customHeight="1" spans="1:17">
      <c r="A12" s="53" t="s">
        <v>29</v>
      </c>
      <c r="B12" s="6">
        <v>2.3168</v>
      </c>
      <c r="C12" s="6">
        <v>2.2989</v>
      </c>
      <c r="D12" s="6">
        <v>2.2202</v>
      </c>
      <c r="E12" s="6">
        <v>2.4094</v>
      </c>
      <c r="F12" s="6">
        <v>2.648</v>
      </c>
      <c r="G12" s="6">
        <v>2.7543</v>
      </c>
      <c r="H12" s="6">
        <v>2.7607</v>
      </c>
      <c r="I12" s="6">
        <v>2.4066</v>
      </c>
      <c r="J12" s="6">
        <v>2.7889</v>
      </c>
      <c r="K12" s="6">
        <v>2.7244</v>
      </c>
      <c r="L12" s="43"/>
      <c r="M12" s="6">
        <v>3.1057</v>
      </c>
      <c r="N12" s="6">
        <v>2.6586</v>
      </c>
      <c r="O12" s="6">
        <v>2.4121</v>
      </c>
      <c r="P12" s="43"/>
      <c r="Q12" s="32" t="s">
        <v>22</v>
      </c>
    </row>
    <row r="13" ht="18" customHeight="1" spans="1:17">
      <c r="A13" s="53" t="s">
        <v>30</v>
      </c>
      <c r="B13" s="6">
        <v>14.7425</v>
      </c>
      <c r="C13" s="6">
        <v>14.4755</v>
      </c>
      <c r="D13" s="6">
        <v>11.0587</v>
      </c>
      <c r="E13" s="6">
        <v>8.9162</v>
      </c>
      <c r="F13" s="6">
        <v>11.3701</v>
      </c>
      <c r="G13" s="6">
        <v>11.887</v>
      </c>
      <c r="H13" s="6">
        <v>10.7453</v>
      </c>
      <c r="I13" s="6">
        <v>9.8288</v>
      </c>
      <c r="J13" s="6">
        <v>9.5109</v>
      </c>
      <c r="K13" s="6">
        <v>8.7567</v>
      </c>
      <c r="L13" s="6">
        <v>8.041</v>
      </c>
      <c r="M13" s="6">
        <v>7.3452</v>
      </c>
      <c r="N13" s="6">
        <v>5.8832</v>
      </c>
      <c r="O13" s="6">
        <v>5.1959</v>
      </c>
      <c r="P13" s="6">
        <v>4.6542</v>
      </c>
      <c r="Q13" s="32"/>
    </row>
    <row r="14" ht="18" customHeight="1" spans="1:17">
      <c r="A14" s="54" t="s">
        <v>31</v>
      </c>
      <c r="B14" s="6">
        <v>12.0879</v>
      </c>
      <c r="C14" s="6">
        <v>18.824</v>
      </c>
      <c r="D14" s="6">
        <v>25.66</v>
      </c>
      <c r="E14" s="6">
        <v>24.2613</v>
      </c>
      <c r="F14" s="6">
        <v>18.256</v>
      </c>
      <c r="G14" s="6">
        <v>16.2198</v>
      </c>
      <c r="H14" s="6">
        <v>14.321</v>
      </c>
      <c r="I14" s="6">
        <v>12.998</v>
      </c>
      <c r="J14" s="6">
        <v>13.095</v>
      </c>
      <c r="K14" s="6">
        <v>15.315</v>
      </c>
      <c r="L14" s="6">
        <v>12.209</v>
      </c>
      <c r="M14" s="6">
        <v>9.08</v>
      </c>
      <c r="N14" s="6">
        <v>-22.96</v>
      </c>
      <c r="O14" s="6">
        <v>-25.326</v>
      </c>
      <c r="P14" s="6">
        <v>-11.666</v>
      </c>
      <c r="Q14" s="32" t="s">
        <v>32</v>
      </c>
    </row>
    <row r="15" ht="18" customHeight="1" spans="1:17">
      <c r="A15" s="54" t="s">
        <v>33</v>
      </c>
      <c r="B15" s="6">
        <v>11.6634</v>
      </c>
      <c r="C15" s="6">
        <v>6.597</v>
      </c>
      <c r="D15" s="6">
        <v>21.92</v>
      </c>
      <c r="E15" s="6">
        <v>15.5598</v>
      </c>
      <c r="F15" s="6">
        <v>13.431</v>
      </c>
      <c r="G15" s="6">
        <v>4.682</v>
      </c>
      <c r="H15" s="6">
        <v>6.686</v>
      </c>
      <c r="I15" s="6">
        <v>17.989</v>
      </c>
      <c r="J15" s="6">
        <v>9.4596</v>
      </c>
      <c r="K15" s="6">
        <v>11.376</v>
      </c>
      <c r="L15" s="6">
        <v>-68.634</v>
      </c>
      <c r="M15" s="6">
        <v>2.79</v>
      </c>
      <c r="N15" s="6">
        <v>-93.865</v>
      </c>
      <c r="O15" s="6">
        <v>24.787</v>
      </c>
      <c r="P15" s="6">
        <v>-40.413</v>
      </c>
      <c r="Q15" s="32"/>
    </row>
    <row r="16" ht="18" customHeight="1" spans="1:17">
      <c r="A16" s="54" t="s">
        <v>34</v>
      </c>
      <c r="B16" s="6">
        <v>9.42408</v>
      </c>
      <c r="C16" s="6">
        <v>16.794</v>
      </c>
      <c r="D16" s="6">
        <v>20.852</v>
      </c>
      <c r="E16" s="6">
        <v>16.2542</v>
      </c>
      <c r="F16" s="6">
        <v>14.081</v>
      </c>
      <c r="G16" s="6">
        <v>11.029</v>
      </c>
      <c r="H16" s="6">
        <v>10.212</v>
      </c>
      <c r="I16" s="6">
        <v>9.727</v>
      </c>
      <c r="J16" s="6">
        <v>9.076</v>
      </c>
      <c r="K16" s="6">
        <v>9.717</v>
      </c>
      <c r="L16" s="6">
        <v>8.777</v>
      </c>
      <c r="M16" s="6">
        <v>5.547</v>
      </c>
      <c r="N16" s="6">
        <v>-21.06</v>
      </c>
      <c r="O16" s="6">
        <v>-28.07</v>
      </c>
      <c r="P16" s="6">
        <v>-7.317</v>
      </c>
      <c r="Q16" s="32"/>
    </row>
    <row r="17" ht="18" customHeight="1" spans="1:17">
      <c r="A17" s="54" t="s">
        <v>35</v>
      </c>
      <c r="B17" s="6">
        <v>5.57325</v>
      </c>
      <c r="C17" s="6">
        <v>5.7388</v>
      </c>
      <c r="D17" s="6">
        <v>19.99</v>
      </c>
      <c r="E17" s="6">
        <v>12.9954</v>
      </c>
      <c r="F17" s="6">
        <v>11.922</v>
      </c>
      <c r="G17" s="6">
        <v>0.041</v>
      </c>
      <c r="H17" s="6">
        <v>7.474</v>
      </c>
      <c r="I17" s="6">
        <v>8.701</v>
      </c>
      <c r="J17" s="6">
        <v>10.698</v>
      </c>
      <c r="K17" s="6">
        <v>8.161</v>
      </c>
      <c r="L17" s="6">
        <v>37.694</v>
      </c>
      <c r="M17" s="6">
        <v>2.267</v>
      </c>
      <c r="N17" s="6">
        <v>-91.79</v>
      </c>
      <c r="O17" s="6">
        <v>11.72</v>
      </c>
      <c r="P17" s="6">
        <v>-48.506</v>
      </c>
      <c r="Q17" s="32"/>
    </row>
    <row r="18" ht="18" customHeight="1" spans="1:17">
      <c r="A18" s="54" t="s">
        <v>36</v>
      </c>
      <c r="B18" s="6">
        <f>B21/B23*B22</f>
        <v>1.67113411321865</v>
      </c>
      <c r="C18" s="6">
        <f t="shared" ref="C18:P18" si="0">C21/C23*C22</f>
        <v>2.14314311492642</v>
      </c>
      <c r="D18" s="6">
        <f t="shared" si="0"/>
        <v>2.7190402850112</v>
      </c>
      <c r="E18" s="6">
        <f t="shared" si="0"/>
        <v>3.2347470815625</v>
      </c>
      <c r="F18" s="6">
        <f t="shared" si="0"/>
        <v>3.85846885511183</v>
      </c>
      <c r="G18" s="6">
        <f t="shared" si="0"/>
        <v>4.58349795570698</v>
      </c>
      <c r="H18" s="6">
        <f t="shared" si="0"/>
        <v>5.3101703391941</v>
      </c>
      <c r="I18" s="6">
        <f t="shared" si="0"/>
        <v>6.07112971599123</v>
      </c>
      <c r="J18" s="6">
        <f t="shared" si="0"/>
        <v>6.55574783801226</v>
      </c>
      <c r="K18" s="6">
        <f t="shared" si="0"/>
        <v>7.16929839476124</v>
      </c>
      <c r="L18" s="6">
        <f t="shared" si="0"/>
        <v>8.15546599889674</v>
      </c>
      <c r="M18" s="6">
        <f t="shared" si="0"/>
        <v>9.35714844688222</v>
      </c>
      <c r="N18" s="6">
        <f t="shared" si="0"/>
        <v>7.46624691625524</v>
      </c>
      <c r="O18" s="6">
        <f t="shared" si="0"/>
        <v>5.29928160128407</v>
      </c>
      <c r="P18" s="6">
        <f t="shared" si="0"/>
        <v>4.94381144952712</v>
      </c>
      <c r="Q18" s="2" t="s">
        <v>22</v>
      </c>
    </row>
    <row r="19" ht="18" customHeight="1" spans="1:17">
      <c r="A19" s="54" t="s">
        <v>37</v>
      </c>
      <c r="B19" s="6">
        <f>B25/B24*100</f>
        <v>1.63021328623828</v>
      </c>
      <c r="C19" s="6">
        <f t="shared" ref="C19:P19" si="1">C25/C24*100</f>
        <v>1.69400945973957</v>
      </c>
      <c r="D19" s="6">
        <f t="shared" si="1"/>
        <v>1.87941319500729</v>
      </c>
      <c r="E19" s="6">
        <f t="shared" si="1"/>
        <v>2.03877488881197</v>
      </c>
      <c r="F19" s="6">
        <f t="shared" si="1"/>
        <v>2.3533710726883</v>
      </c>
      <c r="G19" s="6">
        <f t="shared" si="1"/>
        <v>2.5746278910975</v>
      </c>
      <c r="H19" s="6">
        <f t="shared" si="1"/>
        <v>2.8576683715891</v>
      </c>
      <c r="I19" s="6">
        <f t="shared" si="1"/>
        <v>2.50284683372505</v>
      </c>
      <c r="J19" s="6">
        <f t="shared" si="1"/>
        <v>2.81979997849231</v>
      </c>
      <c r="K19" s="6">
        <f t="shared" si="1"/>
        <v>3.00848967905746</v>
      </c>
      <c r="L19" s="6">
        <f t="shared" si="1"/>
        <v>2.92195751101161</v>
      </c>
      <c r="M19" s="6">
        <f t="shared" si="1"/>
        <v>2.82189548822594</v>
      </c>
      <c r="N19" s="6">
        <f t="shared" si="1"/>
        <v>2.29815284848954</v>
      </c>
      <c r="O19" s="6">
        <f t="shared" si="1"/>
        <v>1.78261157660933</v>
      </c>
      <c r="P19" s="6">
        <f t="shared" si="1"/>
        <v>1.50325270226416</v>
      </c>
      <c r="Q19" s="2" t="s">
        <v>32</v>
      </c>
    </row>
    <row r="21" spans="1:17">
      <c r="A21" s="15" t="s">
        <v>38</v>
      </c>
      <c r="B21" s="1">
        <v>2250</v>
      </c>
      <c r="C21" s="1">
        <v>2644</v>
      </c>
      <c r="D21" s="1">
        <v>3312.6</v>
      </c>
      <c r="E21" s="1">
        <v>4080.3</v>
      </c>
      <c r="F21" s="1">
        <v>4801.2</v>
      </c>
      <c r="G21" s="1">
        <v>5536</v>
      </c>
      <c r="H21" s="1">
        <v>6301</v>
      </c>
      <c r="I21" s="1">
        <v>7139</v>
      </c>
      <c r="J21" s="1">
        <v>8093</v>
      </c>
      <c r="K21" s="1">
        <v>9323</v>
      </c>
      <c r="L21" s="1">
        <v>10006</v>
      </c>
      <c r="M21" s="1">
        <v>10911</v>
      </c>
      <c r="N21" s="1">
        <v>8275</v>
      </c>
      <c r="O21" s="1">
        <v>6772</v>
      </c>
      <c r="P21" s="1">
        <v>5982</v>
      </c>
      <c r="Q21" s="1" t="s">
        <v>18</v>
      </c>
    </row>
    <row r="22" spans="1:17">
      <c r="A22" s="15" t="s">
        <v>39</v>
      </c>
      <c r="B22" s="1">
        <v>15.9589</v>
      </c>
      <c r="C22" s="1">
        <v>18.5069</v>
      </c>
      <c r="D22" s="1">
        <v>22.3484</v>
      </c>
      <c r="E22" s="1">
        <v>25.3687</v>
      </c>
      <c r="F22" s="1">
        <v>27.811</v>
      </c>
      <c r="G22" s="1">
        <v>31.1042</v>
      </c>
      <c r="H22" s="1">
        <v>33.8398</v>
      </c>
      <c r="I22" s="1">
        <v>36.471</v>
      </c>
      <c r="J22" s="1">
        <v>37.65525</v>
      </c>
      <c r="K22" s="1">
        <v>39.8091</v>
      </c>
      <c r="L22" s="1">
        <v>45.80379</v>
      </c>
      <c r="M22" s="1">
        <v>53.47236</v>
      </c>
      <c r="N22" s="1">
        <v>58.29808</v>
      </c>
      <c r="O22" s="1">
        <v>57.52835</v>
      </c>
      <c r="P22" s="1">
        <v>64.2274</v>
      </c>
      <c r="Q22" s="1" t="s">
        <v>40</v>
      </c>
    </row>
    <row r="23" spans="1:17">
      <c r="A23" s="15" t="s">
        <v>41</v>
      </c>
      <c r="B23" s="1">
        <v>21486.92</v>
      </c>
      <c r="C23" s="1">
        <v>22832</v>
      </c>
      <c r="D23" s="1">
        <v>27227</v>
      </c>
      <c r="E23" s="1">
        <v>32000</v>
      </c>
      <c r="F23" s="1">
        <v>34606</v>
      </c>
      <c r="G23" s="1">
        <v>37568</v>
      </c>
      <c r="H23" s="1">
        <v>40154</v>
      </c>
      <c r="I23" s="1">
        <v>42886</v>
      </c>
      <c r="J23" s="1">
        <v>46485</v>
      </c>
      <c r="K23" s="1">
        <v>51768</v>
      </c>
      <c r="L23" s="1">
        <v>56197</v>
      </c>
      <c r="M23" s="1">
        <v>62352</v>
      </c>
      <c r="N23" s="1">
        <v>64613</v>
      </c>
      <c r="O23" s="1">
        <v>73516</v>
      </c>
      <c r="P23" s="1">
        <v>77715</v>
      </c>
      <c r="Q23" s="1" t="s">
        <v>18</v>
      </c>
    </row>
    <row r="24" spans="1:17">
      <c r="A24" s="15" t="s">
        <v>42</v>
      </c>
      <c r="B24" s="1">
        <v>2208.3</v>
      </c>
      <c r="C24" s="1">
        <v>2653.35</v>
      </c>
      <c r="D24" s="1">
        <v>3207.88</v>
      </c>
      <c r="E24" s="1">
        <v>3842.59</v>
      </c>
      <c r="F24" s="1">
        <v>4161.88</v>
      </c>
      <c r="G24" s="1">
        <v>4730.47</v>
      </c>
      <c r="H24" s="1">
        <v>5159.57</v>
      </c>
      <c r="I24" s="1">
        <v>6645.98</v>
      </c>
      <c r="J24" s="1">
        <v>6974.25</v>
      </c>
      <c r="K24" s="1">
        <v>7530.32</v>
      </c>
      <c r="L24" s="1">
        <v>8629.53</v>
      </c>
      <c r="M24" s="1">
        <v>10053.03</v>
      </c>
      <c r="N24" s="1">
        <v>10082.01</v>
      </c>
      <c r="O24" s="1">
        <v>11016.87</v>
      </c>
      <c r="P24" s="1">
        <v>12017.7</v>
      </c>
      <c r="Q24" s="1"/>
    </row>
    <row r="25" spans="1:17">
      <c r="A25" s="15" t="s">
        <v>43</v>
      </c>
      <c r="B25" s="1">
        <f>B21/B23*B26</f>
        <v>36</v>
      </c>
      <c r="C25" s="1">
        <f t="shared" ref="C25:P25" si="2">C21/C23*C26</f>
        <v>44.948</v>
      </c>
      <c r="D25" s="1">
        <f t="shared" si="2"/>
        <v>60.28932</v>
      </c>
      <c r="E25" s="1">
        <f t="shared" si="2"/>
        <v>78.34176</v>
      </c>
      <c r="F25" s="1">
        <f t="shared" si="2"/>
        <v>97.94448</v>
      </c>
      <c r="G25" s="1">
        <f t="shared" si="2"/>
        <v>121.792</v>
      </c>
      <c r="H25" s="1">
        <f t="shared" si="2"/>
        <v>147.4434</v>
      </c>
      <c r="I25" s="1">
        <f t="shared" si="2"/>
        <v>166.3387</v>
      </c>
      <c r="J25" s="1">
        <f t="shared" si="2"/>
        <v>196.6599</v>
      </c>
      <c r="K25" s="1">
        <f t="shared" si="2"/>
        <v>226.5489</v>
      </c>
      <c r="L25" s="1">
        <f t="shared" si="2"/>
        <v>252.1512</v>
      </c>
      <c r="M25" s="1">
        <f t="shared" si="2"/>
        <v>283.686</v>
      </c>
      <c r="N25" s="1">
        <f t="shared" si="2"/>
        <v>231.7</v>
      </c>
      <c r="O25" s="1">
        <f t="shared" si="2"/>
        <v>196.388</v>
      </c>
      <c r="P25" s="1">
        <f t="shared" si="2"/>
        <v>180.6564</v>
      </c>
      <c r="Q25" s="1"/>
    </row>
    <row r="26" spans="1:17">
      <c r="A26" s="15" t="s">
        <v>44</v>
      </c>
      <c r="B26" s="1">
        <f>B23*0.016</f>
        <v>343.79072</v>
      </c>
      <c r="C26" s="1">
        <f>C23*0.017</f>
        <v>388.144</v>
      </c>
      <c r="D26" s="1">
        <f>D23*0.0182</f>
        <v>495.5314</v>
      </c>
      <c r="E26" s="1">
        <f>E23*0.0192</f>
        <v>614.4</v>
      </c>
      <c r="F26" s="1">
        <f>F23*0.0204</f>
        <v>705.9624</v>
      </c>
      <c r="G26" s="1">
        <f>G23*0.022</f>
        <v>826.496</v>
      </c>
      <c r="H26" s="1">
        <f>H23*0.0234</f>
        <v>939.6036</v>
      </c>
      <c r="I26" s="1">
        <f>I23*0.0233</f>
        <v>999.2438</v>
      </c>
      <c r="J26" s="1">
        <f t="shared" ref="J26:K26" si="3">J23*0.0243</f>
        <v>1129.5855</v>
      </c>
      <c r="K26" s="1">
        <f t="shared" si="3"/>
        <v>1257.9624</v>
      </c>
      <c r="L26" s="1">
        <f>L23*0.0252</f>
        <v>1416.1644</v>
      </c>
      <c r="M26" s="1">
        <f>M23*0.026</f>
        <v>1621.152</v>
      </c>
      <c r="N26" s="1">
        <f>N23*0.028</f>
        <v>1809.164</v>
      </c>
      <c r="O26" s="1">
        <f>O23*0.029</f>
        <v>2131.964</v>
      </c>
      <c r="P26" s="1">
        <f>P23*0.0302</f>
        <v>2346.993</v>
      </c>
      <c r="Q26" s="1"/>
    </row>
    <row r="27" spans="1:1">
      <c r="A27" s="55" t="s">
        <v>45</v>
      </c>
    </row>
    <row r="28" spans="1:1">
      <c r="A28" t="s">
        <v>46</v>
      </c>
    </row>
    <row r="29" spans="1:1">
      <c r="A29" t="s">
        <v>47</v>
      </c>
    </row>
    <row r="30" spans="1:1">
      <c r="A30" t="s">
        <v>48</v>
      </c>
    </row>
    <row r="31" spans="1:1">
      <c r="A31" t="s">
        <v>49</v>
      </c>
    </row>
    <row r="32" spans="1:1">
      <c r="A32" t="s">
        <v>50</v>
      </c>
    </row>
    <row r="33" spans="1:1">
      <c r="A33" t="s">
        <v>51</v>
      </c>
    </row>
  </sheetData>
  <mergeCells count="6">
    <mergeCell ref="Q6:Q7"/>
    <mergeCell ref="Q8:Q9"/>
    <mergeCell ref="Q10:Q11"/>
    <mergeCell ref="Q12:Q13"/>
    <mergeCell ref="Q14:Q17"/>
    <mergeCell ref="Q23:Q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Q20"/>
  <sheetViews>
    <sheetView zoomScale="70" zoomScaleNormal="70" workbookViewId="0">
      <selection activeCell="A4" sqref="A4:Q20"/>
    </sheetView>
  </sheetViews>
  <sheetFormatPr defaultColWidth="9" defaultRowHeight="14"/>
  <cols>
    <col min="1" max="1" width="19.4636363636364" customWidth="1"/>
    <col min="2" max="16" width="11.8636363636364" style="1" customWidth="1"/>
    <col min="17" max="17" width="18.6636363636364" customWidth="1"/>
  </cols>
  <sheetData>
    <row r="4" spans="1:17">
      <c r="A4" s="48" t="s">
        <v>52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t="s">
        <v>16</v>
      </c>
    </row>
    <row r="5" ht="15" spans="1:17">
      <c r="A5" s="48" t="s">
        <v>53</v>
      </c>
      <c r="B5" s="6">
        <v>12.64</v>
      </c>
      <c r="C5" s="6">
        <v>6.044</v>
      </c>
      <c r="D5" s="6">
        <v>17.378</v>
      </c>
      <c r="E5" s="6">
        <v>13.144</v>
      </c>
      <c r="F5" s="6">
        <v>5.652</v>
      </c>
      <c r="G5" s="6">
        <v>6.56</v>
      </c>
      <c r="H5" s="6">
        <v>5.32</v>
      </c>
      <c r="I5" s="6">
        <v>6.864</v>
      </c>
      <c r="J5" s="6">
        <v>6.97</v>
      </c>
      <c r="K5" s="6">
        <v>9.221</v>
      </c>
      <c r="L5" s="6">
        <v>8.898</v>
      </c>
      <c r="M5" s="6">
        <v>5.942</v>
      </c>
      <c r="N5" s="6">
        <v>1.992</v>
      </c>
      <c r="O5" s="6">
        <v>12.204</v>
      </c>
      <c r="P5" s="6">
        <v>2.2</v>
      </c>
      <c r="Q5" s="32" t="s">
        <v>32</v>
      </c>
    </row>
    <row r="6" ht="15" spans="1:17">
      <c r="A6" s="48" t="s">
        <v>54</v>
      </c>
      <c r="B6" s="6">
        <v>4.58</v>
      </c>
      <c r="C6" s="6">
        <v>4.63</v>
      </c>
      <c r="D6" s="6">
        <v>4.99</v>
      </c>
      <c r="E6" s="6">
        <v>4.07</v>
      </c>
      <c r="F6" s="6">
        <v>4.6</v>
      </c>
      <c r="G6" s="6">
        <v>4.56</v>
      </c>
      <c r="H6" s="6">
        <v>5</v>
      </c>
      <c r="I6" s="6">
        <v>5.02</v>
      </c>
      <c r="J6" s="6">
        <v>5.7</v>
      </c>
      <c r="K6" s="6">
        <v>6.36</v>
      </c>
      <c r="L6" s="6">
        <v>5.44</v>
      </c>
      <c r="M6" s="6">
        <v>4.99</v>
      </c>
      <c r="N6" s="6">
        <v>4.99</v>
      </c>
      <c r="O6" s="6">
        <v>1</v>
      </c>
      <c r="P6" s="6">
        <v>0.04</v>
      </c>
      <c r="Q6" s="32"/>
    </row>
    <row r="7" ht="15" spans="1:17">
      <c r="A7" s="48" t="s">
        <v>55</v>
      </c>
      <c r="B7" s="6">
        <v>29.768</v>
      </c>
      <c r="C7" s="6">
        <v>30.405</v>
      </c>
      <c r="D7" s="6">
        <v>30.938</v>
      </c>
      <c r="E7" s="6">
        <v>31.4115</v>
      </c>
      <c r="F7" s="6">
        <v>31.705</v>
      </c>
      <c r="G7" s="6">
        <v>64</v>
      </c>
      <c r="H7" s="6">
        <v>64.87</v>
      </c>
      <c r="I7" s="6">
        <v>65.8</v>
      </c>
      <c r="J7" s="6">
        <v>67</v>
      </c>
      <c r="K7" s="6">
        <v>68</v>
      </c>
      <c r="L7" s="6">
        <v>68.9</v>
      </c>
      <c r="M7" s="6">
        <v>70</v>
      </c>
      <c r="N7" s="6">
        <v>72.17</v>
      </c>
      <c r="O7" s="6">
        <v>72.7</v>
      </c>
      <c r="P7" s="6">
        <v>73.4</v>
      </c>
      <c r="Q7" s="32"/>
    </row>
    <row r="8" ht="15" spans="1:17">
      <c r="A8" s="49" t="s">
        <v>56</v>
      </c>
      <c r="B8" s="6">
        <v>350377</v>
      </c>
      <c r="C8" s="6">
        <v>365017</v>
      </c>
      <c r="D8" s="6">
        <v>422618</v>
      </c>
      <c r="E8" s="6">
        <v>420417</v>
      </c>
      <c r="F8" s="6">
        <v>420960</v>
      </c>
      <c r="G8" s="6">
        <v>419120</v>
      </c>
      <c r="H8" s="6">
        <v>418262</v>
      </c>
      <c r="I8" s="6">
        <v>433822</v>
      </c>
      <c r="J8" s="6">
        <v>430856</v>
      </c>
      <c r="K8" s="6">
        <v>453935</v>
      </c>
      <c r="L8" s="6">
        <v>463895</v>
      </c>
      <c r="M8" s="6">
        <v>476707</v>
      </c>
      <c r="N8" s="6">
        <v>412130</v>
      </c>
      <c r="O8" s="6">
        <v>437671</v>
      </c>
      <c r="P8" s="6">
        <v>433723</v>
      </c>
      <c r="Q8" t="s">
        <v>57</v>
      </c>
    </row>
    <row r="9" ht="15" spans="1:17">
      <c r="A9" s="50" t="s">
        <v>58</v>
      </c>
      <c r="B9" s="6">
        <v>715900</v>
      </c>
      <c r="C9" s="6">
        <v>677000</v>
      </c>
      <c r="D9" s="6">
        <v>665000</v>
      </c>
      <c r="E9" s="6">
        <v>647000</v>
      </c>
      <c r="F9" s="6">
        <v>611000</v>
      </c>
      <c r="G9" s="6">
        <v>593000</v>
      </c>
      <c r="H9" s="6">
        <v>574000</v>
      </c>
      <c r="I9" s="6">
        <v>538000</v>
      </c>
      <c r="J9" s="6">
        <v>268000</v>
      </c>
      <c r="K9" s="6">
        <v>181000</v>
      </c>
      <c r="L9" s="6">
        <v>129000</v>
      </c>
      <c r="M9" s="6">
        <v>89000</v>
      </c>
      <c r="N9" s="6">
        <v>50000</v>
      </c>
      <c r="O9" s="6">
        <v>42000</v>
      </c>
      <c r="P9" s="6">
        <v>40000</v>
      </c>
      <c r="Q9" t="s">
        <v>59</v>
      </c>
    </row>
    <row r="10" ht="15" spans="1:17">
      <c r="A10" s="49" t="s">
        <v>60</v>
      </c>
      <c r="B10" s="6">
        <v>1.67</v>
      </c>
      <c r="C10" s="6">
        <v>0.78</v>
      </c>
      <c r="D10" s="6">
        <v>2.54</v>
      </c>
      <c r="E10" s="6">
        <v>0.34</v>
      </c>
      <c r="F10" s="6">
        <v>0.4</v>
      </c>
      <c r="G10" s="6">
        <v>0</v>
      </c>
      <c r="H10" s="6">
        <v>0</v>
      </c>
      <c r="I10" s="6">
        <v>0</v>
      </c>
      <c r="J10" s="6">
        <v>0.28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t="s">
        <v>57</v>
      </c>
    </row>
    <row r="11" ht="15" spans="1:17">
      <c r="A11" s="8" t="s">
        <v>61</v>
      </c>
      <c r="B11" s="6">
        <v>60.65</v>
      </c>
      <c r="C11" s="6">
        <v>60.65</v>
      </c>
      <c r="D11" s="6">
        <v>60.58</v>
      </c>
      <c r="E11" s="6">
        <v>60.58</v>
      </c>
      <c r="F11" s="6">
        <v>60.58</v>
      </c>
      <c r="G11" s="6">
        <v>60.82</v>
      </c>
      <c r="H11" s="6">
        <v>60.91</v>
      </c>
      <c r="I11" s="6">
        <v>60.96</v>
      </c>
      <c r="J11" s="6">
        <v>61</v>
      </c>
      <c r="K11" s="6">
        <v>61.17</v>
      </c>
      <c r="L11" s="6">
        <v>61.15</v>
      </c>
      <c r="M11" s="6">
        <v>61.15</v>
      </c>
      <c r="N11" s="6">
        <v>61.17</v>
      </c>
      <c r="O11" s="6">
        <v>61.24</v>
      </c>
      <c r="P11" s="6">
        <v>61.27</v>
      </c>
      <c r="Q11" t="s">
        <v>32</v>
      </c>
    </row>
    <row r="12" ht="15" spans="1:17">
      <c r="A12" s="8" t="s">
        <v>62</v>
      </c>
      <c r="B12" s="6">
        <v>69621</v>
      </c>
      <c r="C12" s="6">
        <v>74362</v>
      </c>
      <c r="D12" s="6">
        <v>79459</v>
      </c>
      <c r="E12" s="6">
        <v>105200</v>
      </c>
      <c r="F12" s="6">
        <v>122723</v>
      </c>
      <c r="G12" s="6">
        <v>127927</v>
      </c>
      <c r="H12" s="6">
        <v>132619</v>
      </c>
      <c r="I12" s="6">
        <v>138039</v>
      </c>
      <c r="J12" s="6">
        <v>154314</v>
      </c>
      <c r="K12" s="6">
        <v>159214</v>
      </c>
      <c r="L12" s="6">
        <v>167370</v>
      </c>
      <c r="M12" s="6">
        <v>172280</v>
      </c>
      <c r="N12" s="6">
        <v>179350</v>
      </c>
      <c r="O12" s="6">
        <v>183218</v>
      </c>
      <c r="P12" s="6">
        <v>189757</v>
      </c>
      <c r="Q12" t="s">
        <v>63</v>
      </c>
    </row>
    <row r="13" ht="15" spans="1:17">
      <c r="A13" s="8" t="s">
        <v>64</v>
      </c>
      <c r="B13" s="6">
        <v>9.6</v>
      </c>
      <c r="C13" s="6">
        <v>10.76</v>
      </c>
      <c r="D13" s="6">
        <v>11.05</v>
      </c>
      <c r="E13" s="6">
        <v>11.77</v>
      </c>
      <c r="F13" s="6">
        <v>12.47</v>
      </c>
      <c r="G13" s="6">
        <v>12.44</v>
      </c>
      <c r="H13" s="6">
        <v>12.9</v>
      </c>
      <c r="I13" s="6">
        <v>13.19</v>
      </c>
      <c r="J13" s="6">
        <v>13.17</v>
      </c>
      <c r="K13" s="6">
        <v>13.32</v>
      </c>
      <c r="L13" s="6">
        <v>13.73</v>
      </c>
      <c r="M13" s="6">
        <v>14.03</v>
      </c>
      <c r="N13" s="6">
        <v>13.59</v>
      </c>
      <c r="O13" s="6">
        <v>12.87</v>
      </c>
      <c r="P13" s="6">
        <v>14.2</v>
      </c>
      <c r="Q13" t="s">
        <v>65</v>
      </c>
    </row>
    <row r="14" ht="15" spans="1:17">
      <c r="A14" s="51" t="s">
        <v>66</v>
      </c>
      <c r="B14" s="1">
        <v>1824.35</v>
      </c>
      <c r="C14" s="1">
        <v>1974.8</v>
      </c>
      <c r="D14" s="1">
        <v>2943.61</v>
      </c>
      <c r="E14" s="1">
        <v>1556.5</v>
      </c>
      <c r="F14" s="1">
        <v>3010.39</v>
      </c>
      <c r="G14" s="1">
        <v>1928.57</v>
      </c>
      <c r="H14" s="1" t="s">
        <v>67</v>
      </c>
      <c r="I14" s="1">
        <v>2883.26</v>
      </c>
      <c r="J14" s="1">
        <v>2692.32</v>
      </c>
      <c r="K14" s="1">
        <v>1806.01</v>
      </c>
      <c r="L14" s="1">
        <v>1733.14</v>
      </c>
      <c r="M14" s="1">
        <v>2622.31</v>
      </c>
      <c r="N14" s="1">
        <v>2025.25</v>
      </c>
      <c r="O14" s="1">
        <v>2638.91</v>
      </c>
      <c r="P14" s="1">
        <v>1828.13</v>
      </c>
      <c r="Q14" t="s">
        <v>68</v>
      </c>
    </row>
    <row r="15" ht="15" spans="1:17">
      <c r="A15" s="51" t="s">
        <v>69</v>
      </c>
      <c r="B15" s="6">
        <v>0.56</v>
      </c>
      <c r="C15" s="6">
        <v>0.37</v>
      </c>
      <c r="D15" s="6">
        <v>0.36</v>
      </c>
      <c r="E15" s="6">
        <v>0.36</v>
      </c>
      <c r="F15" s="6">
        <v>0.54</v>
      </c>
      <c r="G15" s="6">
        <v>0.54</v>
      </c>
      <c r="H15" s="6">
        <v>0.45</v>
      </c>
      <c r="I15" s="6">
        <v>0.54</v>
      </c>
      <c r="J15" s="6">
        <v>0.53</v>
      </c>
      <c r="K15" s="6">
        <v>0.52</v>
      </c>
      <c r="L15" s="6">
        <v>0.52</v>
      </c>
      <c r="M15" s="6">
        <v>0.33</v>
      </c>
      <c r="N15" s="6">
        <v>0.3</v>
      </c>
      <c r="O15" s="6">
        <v>0.3</v>
      </c>
      <c r="P15" s="6">
        <v>0.3</v>
      </c>
      <c r="Q15" s="32" t="s">
        <v>70</v>
      </c>
    </row>
    <row r="16" ht="15" spans="1:17">
      <c r="A16" s="51" t="s">
        <v>71</v>
      </c>
      <c r="B16" s="6">
        <v>0.13</v>
      </c>
      <c r="C16" s="6">
        <v>0.13</v>
      </c>
      <c r="D16" s="6">
        <v>0.12</v>
      </c>
      <c r="E16" s="6">
        <v>0.12</v>
      </c>
      <c r="F16" s="6">
        <v>0.12</v>
      </c>
      <c r="G16" s="6">
        <v>0.12</v>
      </c>
      <c r="H16" s="6">
        <v>0.12</v>
      </c>
      <c r="I16" s="6">
        <v>0.12</v>
      </c>
      <c r="J16" s="6">
        <v>0.12</v>
      </c>
      <c r="K16" s="6">
        <v>0.12</v>
      </c>
      <c r="L16" s="6">
        <v>0.12</v>
      </c>
      <c r="M16" s="6">
        <v>0.11</v>
      </c>
      <c r="N16" s="6">
        <v>0.1</v>
      </c>
      <c r="O16" s="6">
        <v>0.1</v>
      </c>
      <c r="P16" s="6">
        <v>0.1</v>
      </c>
      <c r="Q16" s="32"/>
    </row>
    <row r="17" ht="15" spans="1:17">
      <c r="A17" s="8" t="s">
        <v>72</v>
      </c>
      <c r="B17" s="6">
        <v>75.1</v>
      </c>
      <c r="C17" s="6">
        <v>78.88</v>
      </c>
      <c r="D17" s="6">
        <v>82.74</v>
      </c>
      <c r="E17" s="6">
        <v>85.09</v>
      </c>
      <c r="F17" s="6">
        <v>87.5</v>
      </c>
      <c r="G17" s="6">
        <v>89.28</v>
      </c>
      <c r="H17" s="6">
        <v>90.68</v>
      </c>
      <c r="I17" s="6">
        <v>91.95</v>
      </c>
      <c r="J17" s="6">
        <v>93.89</v>
      </c>
      <c r="K17" s="6">
        <v>94.98</v>
      </c>
      <c r="L17" s="6">
        <v>95.75</v>
      </c>
      <c r="M17" s="6">
        <v>96.95</v>
      </c>
      <c r="N17" s="6">
        <v>97.69</v>
      </c>
      <c r="O17" s="6">
        <v>97.92</v>
      </c>
      <c r="P17" s="6">
        <v>98.14</v>
      </c>
      <c r="Q17" s="32" t="s">
        <v>32</v>
      </c>
    </row>
    <row r="18" ht="15" spans="1:17">
      <c r="A18" s="8" t="s">
        <v>73</v>
      </c>
      <c r="B18" s="6">
        <v>86.41</v>
      </c>
      <c r="C18" s="6">
        <v>95.36</v>
      </c>
      <c r="D18" s="6">
        <v>96.32</v>
      </c>
      <c r="E18" s="6">
        <v>94.91</v>
      </c>
      <c r="F18" s="6">
        <v>97.81</v>
      </c>
      <c r="G18" s="6">
        <v>99.4</v>
      </c>
      <c r="H18" s="6">
        <v>100</v>
      </c>
      <c r="I18" s="6">
        <v>99.2</v>
      </c>
      <c r="J18" s="6">
        <v>100</v>
      </c>
      <c r="K18" s="6">
        <v>100</v>
      </c>
      <c r="L18" s="6">
        <v>100</v>
      </c>
      <c r="M18" s="6">
        <v>100</v>
      </c>
      <c r="N18" s="6">
        <v>100</v>
      </c>
      <c r="O18" s="6">
        <v>100</v>
      </c>
      <c r="P18" s="6">
        <v>100</v>
      </c>
      <c r="Q18" s="32"/>
    </row>
    <row r="19" ht="15" spans="1:17">
      <c r="A19" s="8" t="s">
        <v>74</v>
      </c>
      <c r="B19" s="6">
        <v>92.19</v>
      </c>
      <c r="C19" s="6">
        <v>91.55</v>
      </c>
      <c r="D19" s="6">
        <v>82.07</v>
      </c>
      <c r="E19" s="6">
        <v>91.07</v>
      </c>
      <c r="F19" s="6">
        <v>90.45</v>
      </c>
      <c r="G19" s="6">
        <v>93.24</v>
      </c>
      <c r="H19" s="6">
        <v>92.75</v>
      </c>
      <c r="I19" s="6">
        <v>92.55</v>
      </c>
      <c r="J19" s="6">
        <v>89.34</v>
      </c>
      <c r="K19" s="6">
        <v>89.85</v>
      </c>
      <c r="L19" s="6">
        <v>92.11</v>
      </c>
      <c r="M19" s="6">
        <v>93.8</v>
      </c>
      <c r="N19" s="6">
        <v>98.51</v>
      </c>
      <c r="O19" s="6">
        <v>99.35</v>
      </c>
      <c r="P19" s="6">
        <v>99.42</v>
      </c>
      <c r="Q19" s="32"/>
    </row>
    <row r="20" ht="15" spans="1:17">
      <c r="A20" s="8" t="s">
        <v>75</v>
      </c>
      <c r="B20" s="6">
        <v>2.42</v>
      </c>
      <c r="C20" s="6">
        <v>2.26</v>
      </c>
      <c r="D20" s="6">
        <v>1.2</v>
      </c>
      <c r="E20" s="6">
        <v>0.74</v>
      </c>
      <c r="F20" s="6">
        <v>1.08</v>
      </c>
      <c r="G20" s="6">
        <v>1.04</v>
      </c>
      <c r="H20" s="6">
        <v>1.18</v>
      </c>
      <c r="I20" s="6">
        <v>1.03</v>
      </c>
      <c r="J20" s="6">
        <v>1.38</v>
      </c>
      <c r="K20" s="6">
        <v>0.87</v>
      </c>
      <c r="L20" s="6">
        <v>1.18</v>
      </c>
      <c r="M20" s="6">
        <v>0.43</v>
      </c>
      <c r="N20" s="6">
        <v>0.34</v>
      </c>
      <c r="O20" s="6">
        <v>0.27</v>
      </c>
      <c r="P20" s="6">
        <v>0.29</v>
      </c>
      <c r="Q20" s="32"/>
    </row>
  </sheetData>
  <mergeCells count="3">
    <mergeCell ref="Q5:Q7"/>
    <mergeCell ref="Q15:Q16"/>
    <mergeCell ref="Q17:Q2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R85"/>
  <sheetViews>
    <sheetView zoomScale="90" zoomScaleNormal="90" workbookViewId="0">
      <pane ySplit="3" topLeftCell="A37" activePane="bottomLeft" state="frozen"/>
      <selection/>
      <selection pane="bottomLeft" activeCell="A3" sqref="A3:M3"/>
    </sheetView>
  </sheetViews>
  <sheetFormatPr defaultColWidth="9" defaultRowHeight="14"/>
  <cols>
    <col min="1" max="1" width="19.4636363636364" customWidth="1"/>
    <col min="2" max="2" width="10.8" style="1" customWidth="1"/>
    <col min="3" max="4" width="11.8636363636364" style="1" customWidth="1"/>
    <col min="5" max="12" width="10.8" style="1" customWidth="1"/>
    <col min="13" max="13" width="18.6636363636364" style="2" customWidth="1"/>
    <col min="14" max="14" width="27" customWidth="1"/>
    <col min="15" max="15" width="19.8636363636364" style="1" customWidth="1"/>
    <col min="16" max="17" width="19.8636363636364" customWidth="1"/>
    <col min="18" max="18" width="84" customWidth="1"/>
  </cols>
  <sheetData>
    <row r="2" spans="3:3">
      <c r="C2" s="3"/>
    </row>
    <row r="3" spans="1:18">
      <c r="A3" s="37"/>
      <c r="B3" s="38" t="s">
        <v>76</v>
      </c>
      <c r="C3" s="38" t="s">
        <v>77</v>
      </c>
      <c r="D3" s="38" t="s">
        <v>78</v>
      </c>
      <c r="E3" s="38" t="s">
        <v>79</v>
      </c>
      <c r="F3" s="38" t="s">
        <v>80</v>
      </c>
      <c r="G3" s="38" t="s">
        <v>81</v>
      </c>
      <c r="H3" s="38" t="s">
        <v>82</v>
      </c>
      <c r="I3" s="38" t="s">
        <v>83</v>
      </c>
      <c r="J3" s="38" t="s">
        <v>84</v>
      </c>
      <c r="K3" s="38" t="s">
        <v>85</v>
      </c>
      <c r="L3" s="38" t="s">
        <v>86</v>
      </c>
      <c r="M3" s="44" t="s">
        <v>16</v>
      </c>
      <c r="N3" s="21" t="s">
        <v>87</v>
      </c>
      <c r="O3" s="21" t="s">
        <v>88</v>
      </c>
      <c r="P3" s="21" t="s">
        <v>89</v>
      </c>
      <c r="Q3" s="21" t="s">
        <v>90</v>
      </c>
      <c r="R3" s="31" t="s">
        <v>91</v>
      </c>
    </row>
    <row r="4" ht="15" spans="1:18">
      <c r="A4" s="39" t="s">
        <v>92</v>
      </c>
      <c r="B4" s="40">
        <v>910.9</v>
      </c>
      <c r="C4" s="40">
        <v>610.7</v>
      </c>
      <c r="D4" s="40">
        <v>317.33</v>
      </c>
      <c r="E4" s="40">
        <v>280.62</v>
      </c>
      <c r="F4" s="40">
        <v>205.61</v>
      </c>
      <c r="G4" s="40">
        <v>305.84</v>
      </c>
      <c r="H4" s="40">
        <v>258.01</v>
      </c>
      <c r="I4" s="40">
        <v>91.56</v>
      </c>
      <c r="J4" s="40">
        <v>133.14</v>
      </c>
      <c r="K4" s="40">
        <v>269.4241</v>
      </c>
      <c r="L4" s="40">
        <v>97.11</v>
      </c>
      <c r="M4" s="45" t="s">
        <v>18</v>
      </c>
      <c r="O4" s="1">
        <f>SUM(B4:L4)</f>
        <v>3480.2441</v>
      </c>
      <c r="R4" s="32" t="s">
        <v>93</v>
      </c>
    </row>
    <row r="5" ht="15" spans="1:18">
      <c r="A5" s="39" t="s">
        <v>94</v>
      </c>
      <c r="B5" s="40">
        <v>16.9</v>
      </c>
      <c r="C5" s="40">
        <v>5.9</v>
      </c>
      <c r="D5" s="40">
        <v>2.11</v>
      </c>
      <c r="E5" s="40">
        <v>2.264302</v>
      </c>
      <c r="F5" s="40">
        <v>1.2585</v>
      </c>
      <c r="G5" s="40">
        <v>1.8478</v>
      </c>
      <c r="H5" s="40">
        <v>3.767</v>
      </c>
      <c r="I5" s="40">
        <v>0.5123</v>
      </c>
      <c r="J5" s="40">
        <v>1.3094</v>
      </c>
      <c r="K5" s="40">
        <v>0.5629</v>
      </c>
      <c r="L5" s="40">
        <v>2.8908</v>
      </c>
      <c r="M5" s="45" t="s">
        <v>20</v>
      </c>
      <c r="O5" s="1">
        <f>SUM(B5:L5)</f>
        <v>39.323002</v>
      </c>
      <c r="R5" s="32"/>
    </row>
    <row r="6" ht="15" spans="1:18">
      <c r="A6" s="39" t="s">
        <v>95</v>
      </c>
      <c r="B6" s="40">
        <v>6304.89</v>
      </c>
      <c r="C6" s="40">
        <v>4624</v>
      </c>
      <c r="D6" s="40">
        <v>3487.14</v>
      </c>
      <c r="E6" s="40">
        <v>3070.14</v>
      </c>
      <c r="F6" s="40">
        <v>2855.68</v>
      </c>
      <c r="G6" s="40">
        <v>3436.44</v>
      </c>
      <c r="H6" s="40">
        <v>2882.71</v>
      </c>
      <c r="I6" s="40">
        <v>1639.28</v>
      </c>
      <c r="J6" s="40">
        <v>2113.321</v>
      </c>
      <c r="K6" s="40">
        <v>3285.66</v>
      </c>
      <c r="L6" s="40">
        <v>2065.3</v>
      </c>
      <c r="M6" s="46" t="s">
        <v>96</v>
      </c>
      <c r="N6" s="32"/>
      <c r="O6" s="1">
        <f>SUM(B6:L6)</f>
        <v>35764.561</v>
      </c>
      <c r="R6" s="32"/>
    </row>
    <row r="7" ht="15" spans="1:18">
      <c r="A7" s="39" t="s">
        <v>97</v>
      </c>
      <c r="B7" s="40">
        <v>275.71</v>
      </c>
      <c r="C7" s="40">
        <v>95.2</v>
      </c>
      <c r="D7" s="40">
        <v>39.16</v>
      </c>
      <c r="E7" s="40">
        <v>66.4063</v>
      </c>
      <c r="F7" s="40">
        <v>33.165</v>
      </c>
      <c r="G7" s="40">
        <v>52.2841</v>
      </c>
      <c r="H7" s="40">
        <v>62.7437</v>
      </c>
      <c r="I7" s="40">
        <v>9.8826</v>
      </c>
      <c r="J7" s="40">
        <v>25.679</v>
      </c>
      <c r="K7" s="40">
        <v>10.2947</v>
      </c>
      <c r="L7" s="40">
        <v>12.9155</v>
      </c>
      <c r="M7" s="46"/>
      <c r="N7" s="32"/>
      <c r="O7" s="1">
        <f>SUM(B7:L7)</f>
        <v>683.4409</v>
      </c>
      <c r="R7" s="32"/>
    </row>
    <row r="8" ht="15" spans="1:17">
      <c r="A8" s="39" t="s">
        <v>98</v>
      </c>
      <c r="B8" s="40">
        <f>B40/$O$40*$O$8</f>
        <v>56.2904332974883</v>
      </c>
      <c r="C8" s="40">
        <f t="shared" ref="C8:L8" si="0">C40/$O$40*$O$8</f>
        <v>35.7159149751442</v>
      </c>
      <c r="D8" s="40">
        <f t="shared" si="0"/>
        <v>18.2026039934785</v>
      </c>
      <c r="E8" s="40">
        <f t="shared" si="0"/>
        <v>16.2450337919367</v>
      </c>
      <c r="F8" s="40">
        <f t="shared" si="0"/>
        <v>11.7531044116117</v>
      </c>
      <c r="G8" s="40">
        <f t="shared" si="0"/>
        <v>17.4737973695235</v>
      </c>
      <c r="H8" s="40">
        <f t="shared" si="0"/>
        <v>15.5645215828221</v>
      </c>
      <c r="I8" s="40">
        <f t="shared" si="0"/>
        <v>5.22567520579783</v>
      </c>
      <c r="J8" s="40">
        <f t="shared" si="0"/>
        <v>7.79515759537412</v>
      </c>
      <c r="K8" s="40">
        <f t="shared" si="0"/>
        <v>15.0063918113144</v>
      </c>
      <c r="L8" s="40">
        <f t="shared" si="0"/>
        <v>6.39626596550868</v>
      </c>
      <c r="M8" s="46" t="s">
        <v>18</v>
      </c>
      <c r="N8" s="32"/>
      <c r="O8" s="6">
        <v>205.6689</v>
      </c>
      <c r="Q8" s="1">
        <v>2649.01</v>
      </c>
    </row>
    <row r="9" ht="15" spans="1:17">
      <c r="A9" s="39" t="s">
        <v>99</v>
      </c>
      <c r="B9" s="40">
        <v>91.15908</v>
      </c>
      <c r="C9" s="40">
        <v>36.36396</v>
      </c>
      <c r="D9" s="40">
        <v>20.04281</v>
      </c>
      <c r="E9" s="40">
        <f>($O$9-SUM($B$9:$D$9))*E40/SUM($E40:$L40)</f>
        <v>13.3019177859989</v>
      </c>
      <c r="F9" s="40">
        <f t="shared" ref="F9:L9" si="1">($O$9-SUM($B$9:$D$9))*F40/SUM($E40:$L40)</f>
        <v>9.6237921457029</v>
      </c>
      <c r="G9" s="40">
        <f t="shared" si="1"/>
        <v>14.3080660216278</v>
      </c>
      <c r="H9" s="40">
        <f t="shared" si="1"/>
        <v>12.7446941092772</v>
      </c>
      <c r="I9" s="40">
        <f t="shared" si="1"/>
        <v>4.27893858850313</v>
      </c>
      <c r="J9" s="40">
        <f t="shared" si="1"/>
        <v>6.38290734206033</v>
      </c>
      <c r="K9" s="40">
        <f t="shared" si="1"/>
        <v>12.2876808195788</v>
      </c>
      <c r="L9" s="40">
        <f t="shared" si="1"/>
        <v>5.237453187251</v>
      </c>
      <c r="M9" s="46"/>
      <c r="N9" s="32"/>
      <c r="O9" s="1">
        <v>225.7313</v>
      </c>
      <c r="Q9" s="1">
        <v>2123.7871885</v>
      </c>
    </row>
    <row r="10" ht="15" spans="1:17">
      <c r="A10" s="39" t="s">
        <v>100</v>
      </c>
      <c r="B10" s="40">
        <v>504</v>
      </c>
      <c r="C10" s="40">
        <v>279</v>
      </c>
      <c r="D10" s="40">
        <f t="shared" ref="D10:I10" si="2">($O$10-SUM($B$10:$C$10,$J$10:$K$10))*D8/SUM($D$8:$I$8,$L$8)</f>
        <v>124.608131043772</v>
      </c>
      <c r="E10" s="40">
        <f t="shared" si="2"/>
        <v>111.20734705218</v>
      </c>
      <c r="F10" s="40">
        <f t="shared" si="2"/>
        <v>80.4573002422039</v>
      </c>
      <c r="G10" s="40">
        <f t="shared" si="2"/>
        <v>119.618996998122</v>
      </c>
      <c r="H10" s="40">
        <f t="shared" si="2"/>
        <v>106.548818274615</v>
      </c>
      <c r="I10" s="40">
        <f t="shared" si="2"/>
        <v>35.7729927580438</v>
      </c>
      <c r="J10" s="40">
        <v>108</v>
      </c>
      <c r="K10" s="40">
        <v>126</v>
      </c>
      <c r="L10" s="40">
        <f>($O$10-SUM($B$10:$C$10,$J$10:$K$10))*L8/SUM($D$8:$I$8,$L$8)</f>
        <v>43.7864136310649</v>
      </c>
      <c r="M10" s="46" t="s">
        <v>27</v>
      </c>
      <c r="N10" s="32"/>
      <c r="O10" s="1">
        <v>1639</v>
      </c>
      <c r="Q10" s="1">
        <v>22784</v>
      </c>
    </row>
    <row r="11" ht="15" spans="1:18">
      <c r="A11" s="39" t="s">
        <v>101</v>
      </c>
      <c r="B11" s="40">
        <v>236</v>
      </c>
      <c r="C11" s="40">
        <v>206</v>
      </c>
      <c r="D11" s="40">
        <v>99</v>
      </c>
      <c r="E11" s="40">
        <v>54</v>
      </c>
      <c r="F11" s="40">
        <v>48</v>
      </c>
      <c r="G11" s="40">
        <v>94</v>
      </c>
      <c r="H11" s="40">
        <v>84</v>
      </c>
      <c r="I11" s="40">
        <v>45</v>
      </c>
      <c r="J11" s="40">
        <v>61</v>
      </c>
      <c r="K11" s="40">
        <v>60</v>
      </c>
      <c r="L11" s="40">
        <v>52</v>
      </c>
      <c r="M11" s="46"/>
      <c r="N11" s="32"/>
      <c r="O11" s="1">
        <v>1046</v>
      </c>
      <c r="Q11" s="1">
        <v>13991</v>
      </c>
      <c r="R11" s="33" t="s">
        <v>102</v>
      </c>
    </row>
    <row r="12" ht="15" spans="1:17">
      <c r="A12" s="39" t="s">
        <v>103</v>
      </c>
      <c r="B12" s="40">
        <f>B10/$O$10*$O$12</f>
        <v>0.682721659548505</v>
      </c>
      <c r="C12" s="40">
        <f t="shared" ref="C12:L12" si="3">C10/$O$10*$O$12</f>
        <v>0.377935204392922</v>
      </c>
      <c r="D12" s="40">
        <f t="shared" si="3"/>
        <v>0.168794980197305</v>
      </c>
      <c r="E12" s="40">
        <f t="shared" si="3"/>
        <v>0.150642191534624</v>
      </c>
      <c r="F12" s="40">
        <f t="shared" si="3"/>
        <v>0.108987979254265</v>
      </c>
      <c r="G12" s="40">
        <f t="shared" si="3"/>
        <v>0.16203666695255</v>
      </c>
      <c r="H12" s="40">
        <f t="shared" si="3"/>
        <v>0.144331718324161</v>
      </c>
      <c r="I12" s="40">
        <f t="shared" si="3"/>
        <v>0.0484583273468022</v>
      </c>
      <c r="J12" s="40">
        <f t="shared" si="3"/>
        <v>0.14629749847468</v>
      </c>
      <c r="K12" s="40">
        <f t="shared" si="3"/>
        <v>0.170680414887126</v>
      </c>
      <c r="L12" s="40">
        <f t="shared" si="3"/>
        <v>0.0593133590870594</v>
      </c>
      <c r="M12" s="46" t="s">
        <v>22</v>
      </c>
      <c r="N12" s="32"/>
      <c r="O12" s="6">
        <v>2.2202</v>
      </c>
      <c r="Q12">
        <v>27.7262</v>
      </c>
    </row>
    <row r="13" ht="15" spans="1:17">
      <c r="A13" s="39" t="s">
        <v>104</v>
      </c>
      <c r="B13" s="40">
        <v>2.8177</v>
      </c>
      <c r="C13" s="40">
        <v>2.3694</v>
      </c>
      <c r="D13" s="40">
        <v>1.2052</v>
      </c>
      <c r="E13" s="40">
        <f>($O13-SUM($B13:$D13))*E11/SUM($E11:$L11)</f>
        <v>0.505995180722892</v>
      </c>
      <c r="F13" s="40">
        <f t="shared" ref="F13:L13" si="4">($O13-SUM($B13:$D13))*F11/SUM($E11:$L11)</f>
        <v>0.449773493975904</v>
      </c>
      <c r="G13" s="40">
        <f t="shared" si="4"/>
        <v>0.880806425702811</v>
      </c>
      <c r="H13" s="40">
        <f t="shared" si="4"/>
        <v>0.787103614457831</v>
      </c>
      <c r="I13" s="40">
        <f t="shared" si="4"/>
        <v>0.42166265060241</v>
      </c>
      <c r="J13" s="40">
        <f t="shared" si="4"/>
        <v>0.571587148594378</v>
      </c>
      <c r="K13" s="40">
        <f t="shared" si="4"/>
        <v>0.56221686746988</v>
      </c>
      <c r="L13" s="40">
        <f t="shared" si="4"/>
        <v>0.487254618473896</v>
      </c>
      <c r="M13" s="46"/>
      <c r="N13" s="32"/>
      <c r="O13" s="1">
        <v>11.0587</v>
      </c>
      <c r="Q13" s="1">
        <f>158.1772*12</f>
        <v>1898.1264</v>
      </c>
    </row>
    <row r="14" ht="15" spans="1:14">
      <c r="A14" s="41" t="s">
        <v>105</v>
      </c>
      <c r="B14" s="40">
        <v>28.4948511778812</v>
      </c>
      <c r="C14" s="40">
        <v>22</v>
      </c>
      <c r="D14" s="40">
        <v>25.1</v>
      </c>
      <c r="E14" s="40">
        <v>30.09</v>
      </c>
      <c r="F14" s="40">
        <v>29.3</v>
      </c>
      <c r="G14" s="40">
        <v>26.249742002064</v>
      </c>
      <c r="H14" s="40">
        <v>27.2</v>
      </c>
      <c r="I14" s="40">
        <v>31.6</v>
      </c>
      <c r="J14" s="40">
        <v>22.4275862068966</v>
      </c>
      <c r="K14" s="40">
        <v>18.8705051842047</v>
      </c>
      <c r="L14" s="40">
        <v>36.5</v>
      </c>
      <c r="M14" s="46" t="s">
        <v>32</v>
      </c>
      <c r="N14" s="32"/>
    </row>
    <row r="15" ht="15" spans="1:14">
      <c r="A15" s="41" t="s">
        <v>106</v>
      </c>
      <c r="B15" s="40">
        <v>22.4740026812566</v>
      </c>
      <c r="C15" s="40">
        <v>21.4</v>
      </c>
      <c r="D15" s="40">
        <v>18.6</v>
      </c>
      <c r="E15" s="40">
        <v>18.04</v>
      </c>
      <c r="F15" s="40">
        <v>27</v>
      </c>
      <c r="G15" s="40">
        <v>24.6996895667431</v>
      </c>
      <c r="H15" s="40">
        <v>23.8</v>
      </c>
      <c r="I15" s="40">
        <v>21.1</v>
      </c>
      <c r="J15" s="40">
        <v>15.1</v>
      </c>
      <c r="K15" s="40">
        <v>13.3964544721998</v>
      </c>
      <c r="L15" s="40">
        <v>24.3</v>
      </c>
      <c r="M15" s="46"/>
      <c r="N15" s="32"/>
    </row>
    <row r="16" ht="15" spans="1:14">
      <c r="A16" s="41" t="s">
        <v>107</v>
      </c>
      <c r="B16" s="40">
        <v>23.7730663525717</v>
      </c>
      <c r="C16" s="40">
        <v>16.7</v>
      </c>
      <c r="D16" s="40">
        <v>19</v>
      </c>
      <c r="E16" s="40">
        <v>23.2</v>
      </c>
      <c r="F16" s="40">
        <v>23</v>
      </c>
      <c r="G16" s="40">
        <v>20.5191160996142</v>
      </c>
      <c r="H16" s="40">
        <v>22.4</v>
      </c>
      <c r="I16" s="40">
        <v>28.9</v>
      </c>
      <c r="J16" s="40">
        <v>22.1162154831398</v>
      </c>
      <c r="K16" s="40">
        <v>13.8001260728313</v>
      </c>
      <c r="L16" s="40">
        <v>34.1</v>
      </c>
      <c r="M16" s="46"/>
      <c r="N16" s="32"/>
    </row>
    <row r="17" ht="15" spans="1:14">
      <c r="A17" s="41" t="s">
        <v>108</v>
      </c>
      <c r="B17" s="40">
        <v>19.6655013248439</v>
      </c>
      <c r="C17" s="40">
        <v>18.9</v>
      </c>
      <c r="D17" s="40">
        <v>18.8</v>
      </c>
      <c r="E17" s="40">
        <v>19.29</v>
      </c>
      <c r="F17" s="40">
        <v>31.9</v>
      </c>
      <c r="G17" s="40">
        <v>21.1026175584897</v>
      </c>
      <c r="H17" s="40">
        <v>18</v>
      </c>
      <c r="I17" s="40">
        <v>15.9</v>
      </c>
      <c r="J17" s="40">
        <v>14.9041086082995</v>
      </c>
      <c r="K17" s="40">
        <v>18.9595375722543</v>
      </c>
      <c r="L17" s="40">
        <v>22.7</v>
      </c>
      <c r="M17" s="46"/>
      <c r="N17" s="32"/>
    </row>
    <row r="18" ht="15" spans="1:13">
      <c r="A18" s="41" t="s">
        <v>109</v>
      </c>
      <c r="B18" s="40">
        <f>B40/B52*B49</f>
        <v>1.15041319074442</v>
      </c>
      <c r="C18" s="40">
        <f t="shared" ref="C18:L18" si="5">C40/C52*C49</f>
        <v>0.568344390871314</v>
      </c>
      <c r="D18" s="40">
        <f t="shared" si="5"/>
        <v>0.210550487128047</v>
      </c>
      <c r="E18" s="40">
        <f t="shared" si="5"/>
        <v>0.295904369811324</v>
      </c>
      <c r="F18" s="40">
        <f t="shared" si="5"/>
        <v>0.126864378413596</v>
      </c>
      <c r="G18" s="40">
        <f t="shared" si="5"/>
        <v>0.250083891692361</v>
      </c>
      <c r="H18" s="40">
        <f t="shared" si="5"/>
        <v>0.196982267165895</v>
      </c>
      <c r="I18" s="40">
        <f t="shared" si="5"/>
        <v>0.0308129329461463</v>
      </c>
      <c r="J18" s="40">
        <f t="shared" si="5"/>
        <v>0.0551235837019496</v>
      </c>
      <c r="K18" s="40">
        <f t="shared" si="5"/>
        <v>0.225195534028951</v>
      </c>
      <c r="L18" s="40">
        <f t="shared" si="5"/>
        <v>0.0291191282280604</v>
      </c>
      <c r="M18" s="45" t="s">
        <v>22</v>
      </c>
    </row>
    <row r="19" ht="15" spans="1:13">
      <c r="A19" s="42" t="s">
        <v>110</v>
      </c>
      <c r="B19" s="40">
        <f>B42/B41*100</f>
        <v>4.82433077612033</v>
      </c>
      <c r="C19" s="40">
        <f t="shared" ref="C19:L19" si="6">C42/C41*100</f>
        <v>1.70050435132082</v>
      </c>
      <c r="D19" s="40">
        <f t="shared" si="6"/>
        <v>1.17613222614096</v>
      </c>
      <c r="E19" s="40">
        <f t="shared" si="6"/>
        <v>3.14603875874626</v>
      </c>
      <c r="F19" s="40">
        <f t="shared" si="6"/>
        <v>2.71070144490757</v>
      </c>
      <c r="G19" s="40">
        <f t="shared" si="6"/>
        <v>2.93922081210971</v>
      </c>
      <c r="H19" s="40">
        <f t="shared" si="6"/>
        <v>1.99172641872471</v>
      </c>
      <c r="I19" s="40">
        <f t="shared" si="6"/>
        <v>0.559125437814874</v>
      </c>
      <c r="J19" s="40">
        <f t="shared" si="6"/>
        <v>1.3756976747468</v>
      </c>
      <c r="K19" s="40">
        <f t="shared" si="6"/>
        <v>1.63943797942529</v>
      </c>
      <c r="L19" s="40">
        <f t="shared" si="6"/>
        <v>0.341684019348197</v>
      </c>
      <c r="M19" s="45" t="s">
        <v>32</v>
      </c>
    </row>
    <row r="20" spans="2:1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2:1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ht="15" spans="1:13">
      <c r="A22" s="10" t="s">
        <v>111</v>
      </c>
      <c r="B22" s="6">
        <v>9.7</v>
      </c>
      <c r="C22" s="6">
        <v>23.0056763156646</v>
      </c>
      <c r="D22" s="6">
        <v>2.48216802394104</v>
      </c>
      <c r="E22" s="6">
        <f>E60*100</f>
        <v>14.6659677693171</v>
      </c>
      <c r="F22" s="6">
        <f t="shared" ref="F22:L22" si="7">F60*100</f>
        <v>15.3373040147105</v>
      </c>
      <c r="G22" s="6">
        <f t="shared" si="7"/>
        <v>12.1563447551651</v>
      </c>
      <c r="H22" s="6">
        <f t="shared" si="7"/>
        <v>15.1964395013551</v>
      </c>
      <c r="I22" s="6">
        <f t="shared" si="7"/>
        <v>28.3571358683244</v>
      </c>
      <c r="J22" s="6">
        <f t="shared" si="7"/>
        <v>12.6120266712808</v>
      </c>
      <c r="K22" s="6">
        <f t="shared" si="7"/>
        <v>14.9664709510234</v>
      </c>
      <c r="L22" s="6">
        <f t="shared" si="7"/>
        <v>29.5986878245842</v>
      </c>
      <c r="M22" s="2" t="s">
        <v>112</v>
      </c>
    </row>
    <row r="23" ht="15" spans="1:13">
      <c r="A23" s="10" t="s">
        <v>113</v>
      </c>
      <c r="B23" s="6">
        <v>3.41</v>
      </c>
      <c r="C23" s="6">
        <v>2.34</v>
      </c>
      <c r="D23" s="6">
        <v>10.1</v>
      </c>
      <c r="E23" s="6">
        <v>0.67</v>
      </c>
      <c r="F23" s="6">
        <v>0.09</v>
      </c>
      <c r="G23" s="6">
        <v>-0.61</v>
      </c>
      <c r="H23" s="6">
        <v>3.63</v>
      </c>
      <c r="I23" s="6">
        <v>3.55</v>
      </c>
      <c r="J23" s="6">
        <v>-1.21</v>
      </c>
      <c r="K23" s="6">
        <v>6.22</v>
      </c>
      <c r="L23" s="6">
        <v>7.58</v>
      </c>
      <c r="M23" s="2" t="s">
        <v>32</v>
      </c>
    </row>
    <row r="24" ht="15" spans="1:13">
      <c r="A24" s="10" t="s">
        <v>114</v>
      </c>
      <c r="B24" s="6">
        <v>73.25</v>
      </c>
      <c r="C24" s="6">
        <v>68.31</v>
      </c>
      <c r="D24" s="6">
        <v>66.02</v>
      </c>
      <c r="E24" s="6">
        <v>53.33</v>
      </c>
      <c r="F24" s="6">
        <v>52.89</v>
      </c>
      <c r="G24" s="6">
        <v>58.58</v>
      </c>
      <c r="H24" s="6">
        <v>59.02</v>
      </c>
      <c r="I24" s="6">
        <v>44.13</v>
      </c>
      <c r="J24" s="6">
        <v>63.59</v>
      </c>
      <c r="K24" s="6">
        <v>55.54</v>
      </c>
      <c r="L24" s="6">
        <v>48.4</v>
      </c>
      <c r="M24" s="2" t="s">
        <v>112</v>
      </c>
    </row>
    <row r="25" ht="15" spans="1:13">
      <c r="A25" s="10" t="s">
        <v>115</v>
      </c>
      <c r="B25" s="6">
        <v>80468</v>
      </c>
      <c r="C25" s="6">
        <v>47983</v>
      </c>
      <c r="D25" s="6">
        <v>40300</v>
      </c>
      <c r="E25" s="6">
        <v>31660</v>
      </c>
      <c r="F25" s="6">
        <v>10887.75</v>
      </c>
      <c r="G25" s="6">
        <v>41704.49</v>
      </c>
      <c r="H25" s="6">
        <v>12309.28</v>
      </c>
      <c r="I25" s="6">
        <v>12255.66</v>
      </c>
      <c r="J25" s="6">
        <v>3895.71</v>
      </c>
      <c r="K25" s="6">
        <v>19510.3</v>
      </c>
      <c r="L25" s="6">
        <v>14025.13</v>
      </c>
      <c r="M25" s="2" t="s">
        <v>57</v>
      </c>
    </row>
    <row r="26" ht="15" spans="1:15">
      <c r="A26" s="11" t="s">
        <v>116</v>
      </c>
      <c r="B26" s="6">
        <v>88682</v>
      </c>
      <c r="C26" s="6">
        <v>110900</v>
      </c>
      <c r="D26" s="6">
        <v>63000</v>
      </c>
      <c r="E26" s="6">
        <v>67198</v>
      </c>
      <c r="F26" s="6">
        <v>50976</v>
      </c>
      <c r="G26" s="6">
        <v>62006</v>
      </c>
      <c r="H26" s="6">
        <v>28045</v>
      </c>
      <c r="I26" s="6">
        <v>26322</v>
      </c>
      <c r="J26" s="6">
        <v>23898</v>
      </c>
      <c r="K26" s="6">
        <v>25309.7</v>
      </c>
      <c r="L26" s="6">
        <v>15200</v>
      </c>
      <c r="M26" s="2" t="s">
        <v>59</v>
      </c>
      <c r="O26" s="1">
        <f>SUM(B26:L26)</f>
        <v>561536.7</v>
      </c>
    </row>
    <row r="27" ht="15" spans="1:13">
      <c r="A27" s="10" t="s">
        <v>117</v>
      </c>
      <c r="B27" s="6">
        <v>0.18</v>
      </c>
      <c r="C27" s="6">
        <v>0.03</v>
      </c>
      <c r="D27" s="6">
        <v>0.27</v>
      </c>
      <c r="E27" s="6">
        <f t="shared" ref="E27:F27" si="8">E67-E68-E69-E70</f>
        <v>0.0200000000000315</v>
      </c>
      <c r="F27" s="6">
        <f t="shared" si="8"/>
        <v>0</v>
      </c>
      <c r="G27" s="6">
        <v>0</v>
      </c>
      <c r="H27" s="6">
        <v>0</v>
      </c>
      <c r="I27" s="6">
        <f>I67-I68-I69-I70</f>
        <v>0</v>
      </c>
      <c r="J27" s="6">
        <v>0</v>
      </c>
      <c r="K27" s="6">
        <v>0</v>
      </c>
      <c r="L27" s="6">
        <f>L67-L68-L69-L70</f>
        <v>6.88</v>
      </c>
      <c r="M27" s="2" t="s">
        <v>57</v>
      </c>
    </row>
    <row r="28" ht="15" spans="1:13">
      <c r="A28" s="12" t="s">
        <v>118</v>
      </c>
      <c r="B28" s="6">
        <v>64.56</v>
      </c>
      <c r="C28" s="6">
        <v>50.2</v>
      </c>
      <c r="D28" s="6">
        <v>60.03</v>
      </c>
      <c r="E28" s="6">
        <v>12.7</v>
      </c>
      <c r="F28" s="6">
        <v>50.9</v>
      </c>
      <c r="G28" s="6">
        <v>54.03</v>
      </c>
      <c r="H28" s="6">
        <v>60.44</v>
      </c>
      <c r="I28" s="6">
        <v>71.5</v>
      </c>
      <c r="J28" s="6">
        <v>50</v>
      </c>
      <c r="K28" s="6">
        <v>59.3</v>
      </c>
      <c r="L28" s="6">
        <v>80.79</v>
      </c>
      <c r="M28" s="2" t="s">
        <v>32</v>
      </c>
    </row>
    <row r="29" ht="15" spans="1:18">
      <c r="A29" s="12" t="s">
        <v>119</v>
      </c>
      <c r="B29" s="6">
        <v>17503</v>
      </c>
      <c r="C29" s="6">
        <v>15780</v>
      </c>
      <c r="D29" s="6">
        <v>5715</v>
      </c>
      <c r="E29" s="6">
        <v>9540</v>
      </c>
      <c r="F29" s="6">
        <v>7630</v>
      </c>
      <c r="G29" s="6">
        <v>9925</v>
      </c>
      <c r="H29" s="6">
        <v>14320</v>
      </c>
      <c r="I29" s="6">
        <v>4004</v>
      </c>
      <c r="J29" s="6">
        <v>2233</v>
      </c>
      <c r="K29" s="6">
        <v>9502</v>
      </c>
      <c r="L29" s="6">
        <v>3374</v>
      </c>
      <c r="M29" s="2" t="s">
        <v>63</v>
      </c>
      <c r="R29" s="33" t="s">
        <v>120</v>
      </c>
    </row>
    <row r="30" ht="15" spans="1:13">
      <c r="A30" s="12" t="s">
        <v>121</v>
      </c>
      <c r="B30" s="6">
        <v>15.12</v>
      </c>
      <c r="C30" s="6">
        <v>10.62</v>
      </c>
      <c r="D30" s="6">
        <v>6.28</v>
      </c>
      <c r="E30" s="6">
        <v>12.59</v>
      </c>
      <c r="F30" s="6">
        <v>14.79</v>
      </c>
      <c r="G30" s="6">
        <f>G65/G66</f>
        <v>5.79389852133695</v>
      </c>
      <c r="H30" s="6">
        <v>8.21</v>
      </c>
      <c r="I30" s="6">
        <v>11.49</v>
      </c>
      <c r="J30" s="6">
        <v>15.45</v>
      </c>
      <c r="K30" s="6">
        <v>10.14</v>
      </c>
      <c r="L30" s="6">
        <v>11.55</v>
      </c>
      <c r="M30" s="2" t="s">
        <v>65</v>
      </c>
    </row>
    <row r="31" ht="15" spans="1:13">
      <c r="A31" s="12" t="s">
        <v>122</v>
      </c>
      <c r="B31" s="6">
        <v>2762.9</v>
      </c>
      <c r="C31" s="6">
        <v>1579.57079152731</v>
      </c>
      <c r="D31" s="6">
        <v>2441</v>
      </c>
      <c r="E31" s="6">
        <v>879.4</v>
      </c>
      <c r="F31" s="6">
        <v>1781</v>
      </c>
      <c r="G31" s="6">
        <v>1730</v>
      </c>
      <c r="H31" s="6">
        <v>3261.89221043608</v>
      </c>
      <c r="I31" s="6">
        <v>6319</v>
      </c>
      <c r="J31" s="6">
        <v>777.2</v>
      </c>
      <c r="K31" s="6">
        <v>2047</v>
      </c>
      <c r="L31" s="6">
        <v>11670</v>
      </c>
      <c r="M31" s="2" t="s">
        <v>68</v>
      </c>
    </row>
    <row r="32" ht="15" spans="1:13">
      <c r="A32" s="12" t="s">
        <v>123</v>
      </c>
      <c r="B32" s="6">
        <f>B62/B66</f>
        <v>0.0321724808451358</v>
      </c>
      <c r="C32" s="6">
        <f>C62/C66</f>
        <v>0.0388051088660512</v>
      </c>
      <c r="D32" s="6">
        <f>D62/D66</f>
        <v>0.030821047280122</v>
      </c>
      <c r="E32" s="6">
        <f>E62/E66</f>
        <v>0.0643870579625293</v>
      </c>
      <c r="F32" s="43"/>
      <c r="G32" s="43"/>
      <c r="H32" s="43"/>
      <c r="I32" s="43"/>
      <c r="J32" s="6">
        <f>J62/J66</f>
        <v>0.0249912680451788</v>
      </c>
      <c r="K32" s="6">
        <f>K62/K66</f>
        <v>0.032959495146963</v>
      </c>
      <c r="L32" s="6">
        <f>L62/L66</f>
        <v>0.0641664869361597</v>
      </c>
      <c r="M32" s="2" t="s">
        <v>70</v>
      </c>
    </row>
    <row r="33" ht="15" spans="1:13">
      <c r="A33" s="12" t="s">
        <v>124</v>
      </c>
      <c r="B33" s="6">
        <f>B64/B66</f>
        <v>0.169659856048293</v>
      </c>
      <c r="C33" s="6">
        <f t="shared" ref="C33:L33" si="9">C64/C66</f>
        <v>0.0647902351506706</v>
      </c>
      <c r="D33" s="6">
        <f t="shared" si="9"/>
        <v>0.00573801050669379</v>
      </c>
      <c r="E33" s="43"/>
      <c r="F33" s="43"/>
      <c r="G33" s="43"/>
      <c r="H33" s="43"/>
      <c r="I33" s="43"/>
      <c r="J33" s="6">
        <f t="shared" si="9"/>
        <v>0.0537447272426657</v>
      </c>
      <c r="K33" s="6">
        <f t="shared" si="9"/>
        <v>0.0925935452892959</v>
      </c>
      <c r="L33" s="6">
        <f t="shared" si="9"/>
        <v>0.525033121764851</v>
      </c>
      <c r="M33" s="2" t="s">
        <v>70</v>
      </c>
    </row>
    <row r="34" ht="15" spans="1:13">
      <c r="A34" s="12" t="s">
        <v>125</v>
      </c>
      <c r="B34" s="6">
        <v>92</v>
      </c>
      <c r="C34" s="6">
        <v>82.81</v>
      </c>
      <c r="D34" s="6">
        <v>65.8</v>
      </c>
      <c r="E34" s="6">
        <v>84.8</v>
      </c>
      <c r="F34" s="6">
        <v>84.8</v>
      </c>
      <c r="G34" s="6">
        <v>87.96</v>
      </c>
      <c r="H34" s="6">
        <v>70.2</v>
      </c>
      <c r="I34" s="6">
        <v>75.65</v>
      </c>
      <c r="J34" s="6">
        <v>74.8</v>
      </c>
      <c r="K34" s="6">
        <v>75.6</v>
      </c>
      <c r="L34" s="6">
        <v>66.9</v>
      </c>
      <c r="M34" s="2" t="s">
        <v>32</v>
      </c>
    </row>
    <row r="35" ht="15" spans="1:13">
      <c r="A35" s="12" t="s">
        <v>126</v>
      </c>
      <c r="B35" s="6">
        <v>100</v>
      </c>
      <c r="C35" s="6">
        <v>98.64</v>
      </c>
      <c r="D35" s="6">
        <v>89.14</v>
      </c>
      <c r="E35" s="6">
        <v>100</v>
      </c>
      <c r="F35" s="6">
        <v>100</v>
      </c>
      <c r="G35" s="6">
        <v>100</v>
      </c>
      <c r="H35" s="6">
        <v>99.31</v>
      </c>
      <c r="I35" s="6">
        <v>100</v>
      </c>
      <c r="J35" s="6">
        <v>100</v>
      </c>
      <c r="K35" s="6">
        <v>96.99</v>
      </c>
      <c r="L35" s="6">
        <v>99.57</v>
      </c>
      <c r="M35" s="2" t="s">
        <v>32</v>
      </c>
    </row>
    <row r="36" ht="15" spans="1:13">
      <c r="A36" s="12" t="s">
        <v>127</v>
      </c>
      <c r="B36" s="6">
        <v>94.13</v>
      </c>
      <c r="C36" s="6">
        <v>94.88</v>
      </c>
      <c r="D36" s="6">
        <v>95.35</v>
      </c>
      <c r="E36" s="6">
        <v>97.6</v>
      </c>
      <c r="F36" s="6">
        <v>96.49</v>
      </c>
      <c r="G36" s="6">
        <v>93.15</v>
      </c>
      <c r="H36" s="6">
        <v>98.59</v>
      </c>
      <c r="I36" s="6">
        <v>97.24</v>
      </c>
      <c r="J36" s="6">
        <v>99.75</v>
      </c>
      <c r="K36" s="6">
        <v>97.6</v>
      </c>
      <c r="L36" s="6">
        <v>94.99</v>
      </c>
      <c r="M36" s="2" t="s">
        <v>128</v>
      </c>
    </row>
    <row r="37" ht="15" spans="1:13">
      <c r="A37" s="12" t="s">
        <v>129</v>
      </c>
      <c r="B37" s="6">
        <f>B39/B52*100</f>
        <v>0.233104937586405</v>
      </c>
      <c r="C37" s="6">
        <f>C39/C52*100</f>
        <v>0.37828093846448</v>
      </c>
      <c r="D37" s="6">
        <f>D39/D52*100</f>
        <v>0.224913435672365</v>
      </c>
      <c r="E37" s="6">
        <f>E39/E52*100</f>
        <v>0.334494773519164</v>
      </c>
      <c r="F37" s="6">
        <f t="shared" ref="F37:L37" si="10">F39/F52*100</f>
        <v>0.5170718215065</v>
      </c>
      <c r="G37" s="6">
        <f t="shared" si="10"/>
        <v>0.206630874605605</v>
      </c>
      <c r="H37" s="6">
        <f t="shared" si="10"/>
        <v>0.267818780732324</v>
      </c>
      <c r="I37" s="6">
        <f t="shared" si="10"/>
        <v>0.524721698238529</v>
      </c>
      <c r="J37" s="6">
        <f t="shared" si="10"/>
        <v>0.355197726734549</v>
      </c>
      <c r="K37" s="6">
        <f t="shared" si="10"/>
        <v>0.207443108416973</v>
      </c>
      <c r="L37" s="6">
        <f t="shared" si="10"/>
        <v>0.467362275635054</v>
      </c>
      <c r="M37" s="2" t="s">
        <v>32</v>
      </c>
    </row>
    <row r="39" s="25" customFormat="1" spans="1:18">
      <c r="A39" s="13" t="s">
        <v>130</v>
      </c>
      <c r="B39" s="14">
        <v>13.86</v>
      </c>
      <c r="C39" s="14">
        <v>19.39</v>
      </c>
      <c r="D39" s="14">
        <v>6.58</v>
      </c>
      <c r="E39" s="14">
        <v>7.68</v>
      </c>
      <c r="F39" s="14">
        <v>6.73</v>
      </c>
      <c r="G39" s="14">
        <v>5.75</v>
      </c>
      <c r="H39" s="14">
        <v>5.61</v>
      </c>
      <c r="I39" s="14">
        <v>3.95</v>
      </c>
      <c r="J39" s="14">
        <v>2.25</v>
      </c>
      <c r="K39" s="14">
        <v>5.01</v>
      </c>
      <c r="L39" s="14">
        <v>3.01</v>
      </c>
      <c r="M39" s="23" t="s">
        <v>18</v>
      </c>
      <c r="N39" s="24"/>
      <c r="O39" s="24"/>
      <c r="R39" s="34" t="s">
        <v>131</v>
      </c>
    </row>
    <row r="40" spans="1:17">
      <c r="A40" s="15" t="s">
        <v>38</v>
      </c>
      <c r="B40" s="6">
        <v>1025.7</v>
      </c>
      <c r="C40" s="6">
        <v>650.8</v>
      </c>
      <c r="D40" s="6">
        <v>331.68</v>
      </c>
      <c r="E40" s="6">
        <v>296.01</v>
      </c>
      <c r="F40" s="6">
        <v>214.16</v>
      </c>
      <c r="G40" s="6">
        <v>318.4</v>
      </c>
      <c r="H40" s="6">
        <v>283.61</v>
      </c>
      <c r="I40" s="6">
        <v>95.22</v>
      </c>
      <c r="J40" s="6">
        <v>142.04</v>
      </c>
      <c r="K40" s="6">
        <v>273.44</v>
      </c>
      <c r="L40" s="6">
        <v>116.55</v>
      </c>
      <c r="M40" s="26"/>
      <c r="N40" s="6">
        <f>O40/Q40</f>
        <v>0.23870127388535</v>
      </c>
      <c r="O40" s="1">
        <f>SUM(B40:L40)</f>
        <v>3747.61</v>
      </c>
      <c r="Q40" s="1">
        <v>15700</v>
      </c>
    </row>
    <row r="41" spans="1:18">
      <c r="A41" s="15" t="s">
        <v>42</v>
      </c>
      <c r="B41" s="6">
        <v>616.58</v>
      </c>
      <c r="C41" s="6">
        <v>600.74</v>
      </c>
      <c r="D41" s="6">
        <v>310.78</v>
      </c>
      <c r="E41" s="6">
        <v>199.0633</v>
      </c>
      <c r="F41" s="6">
        <v>127.12</v>
      </c>
      <c r="G41" s="6">
        <v>221.95</v>
      </c>
      <c r="H41" s="6">
        <v>211.52</v>
      </c>
      <c r="I41" s="6">
        <v>107.09</v>
      </c>
      <c r="J41" s="6">
        <v>105.03</v>
      </c>
      <c r="K41" s="6">
        <v>222.76</v>
      </c>
      <c r="L41" s="6">
        <v>135.2</v>
      </c>
      <c r="M41" s="26"/>
      <c r="N41" s="1"/>
      <c r="P41" s="1"/>
      <c r="Q41" s="1"/>
      <c r="R41" s="33" t="s">
        <v>132</v>
      </c>
    </row>
    <row r="42" spans="1:18">
      <c r="A42" s="15" t="s">
        <v>43</v>
      </c>
      <c r="B42" s="6">
        <f>B40/B52*B46</f>
        <v>29.7458586994028</v>
      </c>
      <c r="C42" s="6">
        <f t="shared" ref="C42:L42" si="11">C40/C52*C46</f>
        <v>10.2156098401247</v>
      </c>
      <c r="D42" s="6">
        <f t="shared" si="11"/>
        <v>3.65518373240087</v>
      </c>
      <c r="E42" s="6">
        <f t="shared" si="11"/>
        <v>6.26260857243934</v>
      </c>
      <c r="F42" s="6">
        <f t="shared" si="11"/>
        <v>3.4458436767665</v>
      </c>
      <c r="G42" s="6">
        <f t="shared" si="11"/>
        <v>6.52360059247751</v>
      </c>
      <c r="H42" s="6">
        <f t="shared" si="11"/>
        <v>4.21289972088651</v>
      </c>
      <c r="I42" s="6">
        <f t="shared" si="11"/>
        <v>0.598767431355948</v>
      </c>
      <c r="J42" s="6">
        <f t="shared" si="11"/>
        <v>1.44489526778657</v>
      </c>
      <c r="K42" s="6">
        <f t="shared" si="11"/>
        <v>3.65201204296777</v>
      </c>
      <c r="L42" s="6">
        <f t="shared" si="11"/>
        <v>0.461956794158762</v>
      </c>
      <c r="M42" s="26"/>
      <c r="N42" s="1"/>
      <c r="P42" s="1"/>
      <c r="Q42" s="1"/>
      <c r="R42" s="33"/>
    </row>
    <row r="43" spans="1:18">
      <c r="A43" s="15" t="s">
        <v>44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26"/>
      <c r="N43" s="1"/>
      <c r="O43" s="1">
        <v>494.2349</v>
      </c>
      <c r="P43" s="1">
        <v>398.84</v>
      </c>
      <c r="Q43" s="1"/>
      <c r="R43" s="35" t="s">
        <v>133</v>
      </c>
    </row>
    <row r="44" spans="1:18">
      <c r="A44" s="16" t="s">
        <v>134</v>
      </c>
      <c r="B44" s="6">
        <f>B45/$P43*100</f>
        <v>34.888677163775</v>
      </c>
      <c r="C44" s="6">
        <f>C45/$P43*100</f>
        <v>16.2797111623709</v>
      </c>
      <c r="D44" s="6">
        <f t="shared" ref="D44:L44" si="12">D45/$P43*100</f>
        <v>6.72700832414001</v>
      </c>
      <c r="E44" s="6">
        <f t="shared" si="12"/>
        <v>9.82850265770735</v>
      </c>
      <c r="F44" s="6">
        <f t="shared" si="12"/>
        <v>4.23728813559322</v>
      </c>
      <c r="G44" s="6">
        <f t="shared" si="12"/>
        <v>11.5359542673754</v>
      </c>
      <c r="H44" s="6">
        <f t="shared" si="12"/>
        <v>6.29575769732224</v>
      </c>
      <c r="I44" s="6">
        <f t="shared" si="12"/>
        <v>0.957777554909237</v>
      </c>
      <c r="J44" s="6">
        <f t="shared" si="12"/>
        <v>1.30378096479791</v>
      </c>
      <c r="K44" s="6">
        <f t="shared" si="12"/>
        <v>6.52642663724802</v>
      </c>
      <c r="L44" s="6">
        <f t="shared" si="12"/>
        <v>0.516497843746866</v>
      </c>
      <c r="M44" s="26" t="s">
        <v>32</v>
      </c>
      <c r="N44" s="1"/>
      <c r="R44" s="35"/>
    </row>
    <row r="45" spans="1:18">
      <c r="A45" s="16">
        <v>2009</v>
      </c>
      <c r="B45" s="6">
        <v>139.15</v>
      </c>
      <c r="C45" s="6">
        <v>64.93</v>
      </c>
      <c r="D45" s="6">
        <v>26.83</v>
      </c>
      <c r="E45" s="6">
        <v>39.2</v>
      </c>
      <c r="F45" s="6">
        <v>16.9</v>
      </c>
      <c r="G45" s="6">
        <v>46.01</v>
      </c>
      <c r="H45" s="6">
        <v>25.11</v>
      </c>
      <c r="I45" s="6">
        <v>3.82</v>
      </c>
      <c r="J45" s="6">
        <v>5.2</v>
      </c>
      <c r="K45" s="6">
        <v>26.03</v>
      </c>
      <c r="L45" s="6">
        <v>2.06</v>
      </c>
      <c r="M45" s="26" t="s">
        <v>18</v>
      </c>
      <c r="N45" s="1"/>
      <c r="R45" s="35"/>
    </row>
    <row r="46" s="29" customFormat="1" spans="1:18">
      <c r="A46" s="17">
        <v>2010</v>
      </c>
      <c r="B46" s="18">
        <f>$O43*B44/100</f>
        <v>172.432018691706</v>
      </c>
      <c r="C46" s="18">
        <f t="shared" ref="C46:L46" si="13">$O43*C44/100</f>
        <v>80.4600141836325</v>
      </c>
      <c r="D46" s="18">
        <v>32.2404</v>
      </c>
      <c r="E46" s="18">
        <f>$O43*E44/100</f>
        <v>48.5758902818173</v>
      </c>
      <c r="F46" s="18">
        <f t="shared" si="13"/>
        <v>20.942156779661</v>
      </c>
      <c r="G46" s="18">
        <f t="shared" si="13"/>
        <v>57.0147120374085</v>
      </c>
      <c r="H46" s="18">
        <f t="shared" si="13"/>
        <v>31.1158317596029</v>
      </c>
      <c r="I46" s="18">
        <f t="shared" si="13"/>
        <v>4.73367094072811</v>
      </c>
      <c r="J46" s="18">
        <f t="shared" si="13"/>
        <v>6.44374054758801</v>
      </c>
      <c r="K46" s="18">
        <f t="shared" si="13"/>
        <v>32.2558781641761</v>
      </c>
      <c r="L46" s="18">
        <f t="shared" si="13"/>
        <v>2.55271260154448</v>
      </c>
      <c r="M46" s="26"/>
      <c r="N46" s="1"/>
      <c r="O46" s="28"/>
      <c r="R46" s="35"/>
    </row>
    <row r="47" spans="1:15">
      <c r="A47" s="15" t="s">
        <v>39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26" t="s">
        <v>40</v>
      </c>
      <c r="N47" s="1"/>
      <c r="O47" s="28">
        <v>22.3484</v>
      </c>
    </row>
    <row r="48" spans="1:14">
      <c r="A48" s="16" t="s">
        <v>134</v>
      </c>
      <c r="B48" s="6">
        <v>29.84</v>
      </c>
      <c r="C48" s="6">
        <v>20.03</v>
      </c>
      <c r="D48" s="6">
        <v>8.31</v>
      </c>
      <c r="E48" s="6">
        <v>10.27</v>
      </c>
      <c r="F48" s="6">
        <v>3.45</v>
      </c>
      <c r="G48" s="6">
        <v>9.78</v>
      </c>
      <c r="H48" s="6">
        <v>6.51</v>
      </c>
      <c r="I48" s="6">
        <v>1.09</v>
      </c>
      <c r="J48" s="6">
        <v>1.1</v>
      </c>
      <c r="K48" s="6">
        <v>8.9</v>
      </c>
      <c r="L48" s="6">
        <v>0.72</v>
      </c>
      <c r="M48" s="26" t="s">
        <v>32</v>
      </c>
      <c r="N48" s="1"/>
    </row>
    <row r="49" s="29" customFormat="1" spans="1:18">
      <c r="A49" s="17">
        <v>2010</v>
      </c>
      <c r="B49" s="18">
        <f>$O47*B48/100</f>
        <v>6.66876256</v>
      </c>
      <c r="C49" s="18">
        <f t="shared" ref="C49:L49" si="14">$O47*C48/100</f>
        <v>4.47638452</v>
      </c>
      <c r="D49" s="18">
        <f t="shared" si="14"/>
        <v>1.85715204</v>
      </c>
      <c r="E49" s="18">
        <f t="shared" si="14"/>
        <v>2.29518068</v>
      </c>
      <c r="F49" s="18">
        <f t="shared" si="14"/>
        <v>0.7710198</v>
      </c>
      <c r="G49" s="18">
        <f t="shared" si="14"/>
        <v>2.18567352</v>
      </c>
      <c r="H49" s="18">
        <f t="shared" si="14"/>
        <v>1.45488084</v>
      </c>
      <c r="I49" s="18">
        <f t="shared" si="14"/>
        <v>0.24359756</v>
      </c>
      <c r="J49" s="18">
        <f t="shared" si="14"/>
        <v>0.2458324</v>
      </c>
      <c r="K49" s="18">
        <f t="shared" si="14"/>
        <v>1.9890076</v>
      </c>
      <c r="L49" s="18">
        <f t="shared" si="14"/>
        <v>0.16090848</v>
      </c>
      <c r="M49" s="26" t="s">
        <v>40</v>
      </c>
      <c r="N49" s="1"/>
      <c r="R49" s="47" t="s">
        <v>135</v>
      </c>
    </row>
    <row r="50" spans="1:18">
      <c r="A50" s="15" t="s">
        <v>41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R50" s="33" t="s">
        <v>136</v>
      </c>
    </row>
    <row r="51" spans="1:14">
      <c r="A51" s="19">
        <v>2009</v>
      </c>
      <c r="B51" s="6"/>
      <c r="C51" s="6"/>
      <c r="D51" s="6">
        <v>2527.34</v>
      </c>
      <c r="E51" s="6">
        <v>1917.96</v>
      </c>
      <c r="F51" s="6">
        <v>1111.5</v>
      </c>
      <c r="G51" s="6">
        <v>2375.46</v>
      </c>
      <c r="H51" s="6">
        <v>1765.94</v>
      </c>
      <c r="I51" s="6">
        <v>617.5</v>
      </c>
      <c r="J51" s="6">
        <v>533.26</v>
      </c>
      <c r="K51" s="6">
        <v>2025.47</v>
      </c>
      <c r="L51" s="6">
        <v>542.02</v>
      </c>
      <c r="M51" s="26" t="s">
        <v>18</v>
      </c>
      <c r="N51" s="1"/>
    </row>
    <row r="52" s="29" customFormat="1" spans="1:15">
      <c r="A52" s="17">
        <v>2010</v>
      </c>
      <c r="B52" s="18">
        <v>5945.82</v>
      </c>
      <c r="C52" s="18">
        <v>5125.82</v>
      </c>
      <c r="D52" s="18">
        <v>2925.57</v>
      </c>
      <c r="E52" s="18">
        <v>2296</v>
      </c>
      <c r="F52" s="18">
        <v>1301.56</v>
      </c>
      <c r="G52" s="18">
        <v>2782.74</v>
      </c>
      <c r="H52" s="18">
        <v>2094.7</v>
      </c>
      <c r="I52" s="18">
        <v>752.78</v>
      </c>
      <c r="J52" s="18">
        <v>633.45</v>
      </c>
      <c r="K52" s="18">
        <v>2415.12</v>
      </c>
      <c r="L52" s="18">
        <v>644.04</v>
      </c>
      <c r="M52" s="30"/>
      <c r="N52" s="28"/>
      <c r="O52" s="28"/>
    </row>
    <row r="53" spans="1:12">
      <c r="A53" s="19" t="s">
        <v>137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4">
      <c r="A54" s="19">
        <v>2009</v>
      </c>
      <c r="B54" s="6">
        <v>810</v>
      </c>
      <c r="C54" s="6">
        <v>719</v>
      </c>
      <c r="D54" s="6">
        <v>807.6</v>
      </c>
      <c r="E54" s="6">
        <v>431.2</v>
      </c>
      <c r="F54" s="6">
        <v>285</v>
      </c>
      <c r="G54" s="6">
        <v>470.3</v>
      </c>
      <c r="H54" s="6">
        <v>520.7</v>
      </c>
      <c r="I54" s="6">
        <v>223.5</v>
      </c>
      <c r="J54" s="6">
        <v>106.3</v>
      </c>
      <c r="K54" s="6">
        <v>575.5</v>
      </c>
      <c r="L54" s="6">
        <v>230.9</v>
      </c>
      <c r="M54" s="26" t="s">
        <v>22</v>
      </c>
      <c r="N54" s="1"/>
    </row>
    <row r="55" s="29" customFormat="1" spans="1:15">
      <c r="A55" s="17">
        <v>2010</v>
      </c>
      <c r="B55" s="18"/>
      <c r="C55" s="18"/>
      <c r="D55" s="18">
        <v>912.21</v>
      </c>
      <c r="E55" s="18">
        <v>450.17</v>
      </c>
      <c r="F55" s="18">
        <v>289.3542</v>
      </c>
      <c r="G55" s="18">
        <v>491.22</v>
      </c>
      <c r="H55" s="18">
        <v>536.16</v>
      </c>
      <c r="I55" s="18">
        <v>212.27</v>
      </c>
      <c r="J55" s="18">
        <v>112.13</v>
      </c>
      <c r="K55" s="18">
        <v>596.88</v>
      </c>
      <c r="L55" s="18">
        <v>211.7</v>
      </c>
      <c r="M55" s="30"/>
      <c r="N55" s="28"/>
      <c r="O55" s="28"/>
    </row>
    <row r="56" spans="1:12">
      <c r="A56" s="19" t="s">
        <v>138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4">
      <c r="A57" s="19">
        <v>2009</v>
      </c>
      <c r="B57" s="6"/>
      <c r="C57" s="6"/>
      <c r="D57" s="6">
        <f>D51/D54</f>
        <v>3.12944526993561</v>
      </c>
      <c r="E57" s="6">
        <f t="shared" ref="E57:L57" si="15">E51/E54</f>
        <v>4.44795918367347</v>
      </c>
      <c r="F57" s="6">
        <f t="shared" si="15"/>
        <v>3.9</v>
      </c>
      <c r="G57" s="6">
        <f t="shared" si="15"/>
        <v>5.05094620455029</v>
      </c>
      <c r="H57" s="6">
        <f t="shared" si="15"/>
        <v>3.39147301709238</v>
      </c>
      <c r="I57" s="6">
        <f t="shared" si="15"/>
        <v>2.76286353467562</v>
      </c>
      <c r="J57" s="6">
        <f t="shared" si="15"/>
        <v>5.01655691439323</v>
      </c>
      <c r="K57" s="6">
        <f t="shared" si="15"/>
        <v>3.51949609035621</v>
      </c>
      <c r="L57" s="6">
        <f t="shared" si="15"/>
        <v>2.34742312689476</v>
      </c>
      <c r="M57" s="26" t="s">
        <v>139</v>
      </c>
      <c r="N57" s="1"/>
    </row>
    <row r="58" s="29" customFormat="1" spans="1:15">
      <c r="A58" s="17">
        <v>2010</v>
      </c>
      <c r="B58" s="18"/>
      <c r="C58" s="18"/>
      <c r="D58" s="18">
        <f t="shared" ref="D58:L58" si="16">D52/D55</f>
        <v>3.20712335975269</v>
      </c>
      <c r="E58" s="18">
        <f t="shared" si="16"/>
        <v>5.1002954439434</v>
      </c>
      <c r="F58" s="18">
        <f t="shared" si="16"/>
        <v>4.49815485657371</v>
      </c>
      <c r="G58" s="18">
        <f t="shared" si="16"/>
        <v>5.66495663857335</v>
      </c>
      <c r="H58" s="18">
        <f t="shared" si="16"/>
        <v>3.9068561623396</v>
      </c>
      <c r="I58" s="18">
        <f t="shared" si="16"/>
        <v>3.54633250105997</v>
      </c>
      <c r="J58" s="18">
        <f t="shared" si="16"/>
        <v>5.64924641041648</v>
      </c>
      <c r="K58" s="18">
        <f t="shared" si="16"/>
        <v>4.04624045034178</v>
      </c>
      <c r="L58" s="18">
        <f t="shared" si="16"/>
        <v>3.04222957014643</v>
      </c>
      <c r="M58" s="30"/>
      <c r="N58" s="28"/>
      <c r="O58" s="28"/>
    </row>
    <row r="59" spans="1:12">
      <c r="A59" s="19" t="s">
        <v>140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2">
      <c r="A60" s="19">
        <v>2010</v>
      </c>
      <c r="B60" s="6"/>
      <c r="C60" s="6"/>
      <c r="D60" s="6">
        <f t="shared" ref="D60:L60" si="17">(D58-D57)/D57</f>
        <v>0.0248216802394104</v>
      </c>
      <c r="E60" s="6">
        <f t="shared" si="17"/>
        <v>0.146659677693171</v>
      </c>
      <c r="F60" s="6">
        <f t="shared" si="17"/>
        <v>0.153373040147105</v>
      </c>
      <c r="G60" s="6">
        <f t="shared" si="17"/>
        <v>0.121563447551651</v>
      </c>
      <c r="H60" s="6">
        <f t="shared" si="17"/>
        <v>0.151964395013551</v>
      </c>
      <c r="I60" s="6">
        <f t="shared" si="17"/>
        <v>0.283571358683244</v>
      </c>
      <c r="J60" s="6">
        <f t="shared" si="17"/>
        <v>0.126120266712808</v>
      </c>
      <c r="K60" s="6">
        <f t="shared" si="17"/>
        <v>0.149664709510234</v>
      </c>
      <c r="L60" s="6">
        <f t="shared" si="17"/>
        <v>0.295986878245842</v>
      </c>
    </row>
    <row r="61" spans="1:18">
      <c r="A61" s="19" t="s">
        <v>141</v>
      </c>
      <c r="B61" s="6">
        <v>332.5605</v>
      </c>
      <c r="C61" s="6"/>
      <c r="D61" s="6">
        <v>363.75</v>
      </c>
      <c r="E61" s="6"/>
      <c r="F61" s="6"/>
      <c r="G61" s="6"/>
      <c r="H61" s="6"/>
      <c r="I61" s="6"/>
      <c r="J61" s="6"/>
      <c r="K61" s="6">
        <v>288.3</v>
      </c>
      <c r="L61" s="6"/>
      <c r="M61" s="26" t="s">
        <v>142</v>
      </c>
      <c r="N61" s="1"/>
      <c r="R61" s="36" t="s">
        <v>143</v>
      </c>
    </row>
    <row r="62" spans="1:15">
      <c r="A62" s="19"/>
      <c r="B62" s="6">
        <f>B61/15</f>
        <v>22.1707</v>
      </c>
      <c r="C62" s="6">
        <v>22.278013</v>
      </c>
      <c r="D62" s="6">
        <f>D61/15</f>
        <v>24.25</v>
      </c>
      <c r="E62" s="6">
        <v>21.994619</v>
      </c>
      <c r="F62" s="6"/>
      <c r="G62" s="6"/>
      <c r="H62" s="6"/>
      <c r="I62" s="6"/>
      <c r="J62" s="6">
        <v>2.41843</v>
      </c>
      <c r="K62" s="6">
        <f>K61/15</f>
        <v>19.22</v>
      </c>
      <c r="L62" s="6">
        <v>16.6607</v>
      </c>
      <c r="M62" s="26" t="s">
        <v>144</v>
      </c>
      <c r="N62" s="1"/>
      <c r="O62" s="1">
        <v>198.67</v>
      </c>
    </row>
    <row r="63" spans="1:14">
      <c r="A63" s="19" t="s">
        <v>145</v>
      </c>
      <c r="B63" s="6">
        <v>1753.74</v>
      </c>
      <c r="C63" s="6"/>
      <c r="D63" s="6">
        <v>67.72</v>
      </c>
      <c r="E63" s="6"/>
      <c r="F63" s="6"/>
      <c r="G63" s="6"/>
      <c r="H63" s="6"/>
      <c r="I63" s="6"/>
      <c r="J63" s="6"/>
      <c r="K63" s="6"/>
      <c r="L63" s="6">
        <v>2012.82</v>
      </c>
      <c r="M63" s="26" t="s">
        <v>142</v>
      </c>
      <c r="N63" s="1"/>
    </row>
    <row r="64" spans="2:15">
      <c r="B64" s="6">
        <f>B63/15</f>
        <v>116.916</v>
      </c>
      <c r="C64" s="6">
        <v>37.196074</v>
      </c>
      <c r="D64" s="6">
        <f>D63/15</f>
        <v>4.51466666666667</v>
      </c>
      <c r="E64" s="6">
        <v>0.538208</v>
      </c>
      <c r="F64" s="6"/>
      <c r="G64" s="6"/>
      <c r="H64" s="6"/>
      <c r="I64" s="6"/>
      <c r="J64" s="6">
        <v>5.200931</v>
      </c>
      <c r="K64" s="6">
        <v>53.995</v>
      </c>
      <c r="L64" s="6">
        <v>136.3238</v>
      </c>
      <c r="M64" s="26" t="s">
        <v>144</v>
      </c>
      <c r="N64" s="1"/>
      <c r="O64" s="1">
        <v>568.73</v>
      </c>
    </row>
    <row r="65" spans="1:18">
      <c r="A65" s="19" t="s">
        <v>146</v>
      </c>
      <c r="B65" s="6">
        <v>5772</v>
      </c>
      <c r="C65" s="6">
        <v>3483</v>
      </c>
      <c r="D65" s="6">
        <v>1715</v>
      </c>
      <c r="E65" s="6"/>
      <c r="F65" s="6"/>
      <c r="G65" s="6">
        <v>2543</v>
      </c>
      <c r="H65" s="6"/>
      <c r="I65" s="6"/>
      <c r="J65" s="6"/>
      <c r="K65" s="6"/>
      <c r="L65" s="6"/>
      <c r="M65" s="26" t="s">
        <v>63</v>
      </c>
      <c r="N65" s="1"/>
      <c r="R65" t="s">
        <v>147</v>
      </c>
    </row>
    <row r="66" spans="1:14">
      <c r="A66" s="19" t="s">
        <v>148</v>
      </c>
      <c r="B66" s="6">
        <v>689.12</v>
      </c>
      <c r="C66" s="6">
        <v>574.1</v>
      </c>
      <c r="D66" s="6">
        <v>786.8</v>
      </c>
      <c r="E66" s="6">
        <v>341.6</v>
      </c>
      <c r="F66" s="6">
        <v>259.98</v>
      </c>
      <c r="G66" s="6">
        <v>438.91</v>
      </c>
      <c r="H66" s="6">
        <v>259.98</v>
      </c>
      <c r="I66" s="6">
        <v>251.24</v>
      </c>
      <c r="J66" s="6">
        <v>96.771</v>
      </c>
      <c r="K66" s="6">
        <v>583.14</v>
      </c>
      <c r="L66" s="6">
        <v>259.648</v>
      </c>
      <c r="M66" s="26" t="s">
        <v>22</v>
      </c>
      <c r="N66" s="1"/>
    </row>
    <row r="67" spans="1:14">
      <c r="A67" s="19" t="s">
        <v>149</v>
      </c>
      <c r="B67" s="6"/>
      <c r="C67" s="6">
        <v>1154.06</v>
      </c>
      <c r="D67" s="6"/>
      <c r="E67" s="6">
        <v>377.68</v>
      </c>
      <c r="F67" s="6"/>
      <c r="G67" s="6">
        <v>333.92</v>
      </c>
      <c r="H67" s="6">
        <v>253.47</v>
      </c>
      <c r="I67" s="6"/>
      <c r="J67" s="6">
        <v>77.85</v>
      </c>
      <c r="K67" s="6">
        <v>245.8</v>
      </c>
      <c r="L67" s="6">
        <v>146.92</v>
      </c>
      <c r="M67" s="26" t="s">
        <v>57</v>
      </c>
      <c r="N67" s="1"/>
    </row>
    <row r="68" spans="1:14">
      <c r="A68" s="19" t="s">
        <v>150</v>
      </c>
      <c r="B68" s="6"/>
      <c r="C68" s="6">
        <v>1034.72</v>
      </c>
      <c r="D68" s="6"/>
      <c r="E68" s="6">
        <v>368.59</v>
      </c>
      <c r="F68" s="6"/>
      <c r="G68" s="6">
        <v>318.39</v>
      </c>
      <c r="H68" s="6">
        <v>249.9</v>
      </c>
      <c r="I68" s="6"/>
      <c r="J68" s="6">
        <v>77.66</v>
      </c>
      <c r="K68" s="6">
        <v>239.97</v>
      </c>
      <c r="L68" s="6">
        <v>140.04</v>
      </c>
      <c r="M68" s="26"/>
      <c r="N68" s="1"/>
    </row>
    <row r="69" spans="1:14">
      <c r="A69" s="19" t="s">
        <v>151</v>
      </c>
      <c r="B69" s="6"/>
      <c r="C69" s="6">
        <v>59.03</v>
      </c>
      <c r="D69" s="6"/>
      <c r="E69" s="6">
        <v>0.06</v>
      </c>
      <c r="F69" s="6"/>
      <c r="G69" s="6">
        <v>2.67</v>
      </c>
      <c r="H69" s="6"/>
      <c r="I69" s="6"/>
      <c r="J69" s="6"/>
      <c r="K69" s="6">
        <v>1.05</v>
      </c>
      <c r="L69" s="6"/>
      <c r="M69" s="26"/>
      <c r="N69" s="1"/>
    </row>
    <row r="70" spans="1:14">
      <c r="A70" s="19" t="s">
        <v>152</v>
      </c>
      <c r="B70" s="6"/>
      <c r="C70" s="6">
        <v>60.28</v>
      </c>
      <c r="D70" s="6"/>
      <c r="E70" s="6">
        <v>9.01</v>
      </c>
      <c r="F70" s="6"/>
      <c r="G70" s="6">
        <v>12.86</v>
      </c>
      <c r="H70" s="6">
        <v>3.58</v>
      </c>
      <c r="I70" s="6"/>
      <c r="J70" s="6">
        <v>0.35</v>
      </c>
      <c r="K70" s="6">
        <v>4.84</v>
      </c>
      <c r="L70" s="6"/>
      <c r="M70" s="26"/>
      <c r="N70" s="1"/>
    </row>
    <row r="71" spans="1:18">
      <c r="A71" s="19" t="s">
        <v>153</v>
      </c>
      <c r="B71" s="32"/>
      <c r="M71" s="26" t="s">
        <v>154</v>
      </c>
      <c r="N71" s="1"/>
      <c r="R71" t="s">
        <v>155</v>
      </c>
    </row>
    <row r="72" spans="1:2">
      <c r="A72" s="19" t="s">
        <v>156</v>
      </c>
      <c r="B72" s="32"/>
    </row>
    <row r="73" spans="1:2">
      <c r="A73" s="31" t="s">
        <v>157</v>
      </c>
      <c r="B73" s="32" t="s">
        <v>158</v>
      </c>
    </row>
    <row r="74" spans="2:2">
      <c r="B74" s="32" t="s">
        <v>159</v>
      </c>
    </row>
    <row r="75" spans="2:2">
      <c r="B75" s="32" t="s">
        <v>160</v>
      </c>
    </row>
    <row r="76" spans="2:2">
      <c r="B76" s="32" t="s">
        <v>161</v>
      </c>
    </row>
    <row r="77" spans="2:2">
      <c r="B77" s="32" t="s">
        <v>162</v>
      </c>
    </row>
    <row r="78" spans="2:2">
      <c r="B78" s="32" t="s">
        <v>163</v>
      </c>
    </row>
    <row r="79" spans="2:2">
      <c r="B79" s="32" t="s">
        <v>164</v>
      </c>
    </row>
    <row r="80" spans="2:2">
      <c r="B80" s="32" t="s">
        <v>165</v>
      </c>
    </row>
    <row r="81" spans="2:2">
      <c r="B81" s="32" t="s">
        <v>166</v>
      </c>
    </row>
    <row r="82" spans="2:2">
      <c r="B82" s="32" t="s">
        <v>167</v>
      </c>
    </row>
    <row r="83" spans="2:2">
      <c r="B83" s="32" t="s">
        <v>168</v>
      </c>
    </row>
    <row r="84" spans="2:2">
      <c r="B84" s="32" t="s">
        <v>169</v>
      </c>
    </row>
    <row r="85" spans="2:2">
      <c r="B85" s="32" t="s">
        <v>170</v>
      </c>
    </row>
  </sheetData>
  <mergeCells count="13">
    <mergeCell ref="M6:M7"/>
    <mergeCell ref="M8:M9"/>
    <mergeCell ref="M10:M11"/>
    <mergeCell ref="M12:M13"/>
    <mergeCell ref="M14:M17"/>
    <mergeCell ref="M39:M43"/>
    <mergeCell ref="M45:M46"/>
    <mergeCell ref="M51:M52"/>
    <mergeCell ref="M54:M55"/>
    <mergeCell ref="M57:M58"/>
    <mergeCell ref="M67:M70"/>
    <mergeCell ref="R4:R7"/>
    <mergeCell ref="R43:R46"/>
  </mergeCells>
  <hyperlinks>
    <hyperlink ref="R49" r:id="rId1" display="https://www.stats.gov.cn/zt_18555/ztsj/kjndsj/kj2010/202303/t20230303_1925198.html"/>
    <hyperlink ref="R61" r:id="rId2" display="https://zrzyt.zj.gov.cn/art/2011/12/1/art_1289935_5609110.html：2009年国家开展了第二次全国土地调查，因此2009、2010、2011年土地利用变化情况数据以第二次全国土地调查成果为准，第二次全国土地调查成果已于2014年6月19日在《关于浙江省第二次土地调查主要数据成果的公报》中发布"/>
  </hyperlink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R91"/>
  <sheetViews>
    <sheetView workbookViewId="0">
      <pane ySplit="3" topLeftCell="A4" activePane="bottomLeft" state="frozen"/>
      <selection/>
      <selection pane="bottomLeft" activeCell="A39" sqref="A39"/>
    </sheetView>
  </sheetViews>
  <sheetFormatPr defaultColWidth="9" defaultRowHeight="14"/>
  <cols>
    <col min="1" max="1" width="20.5272727272727" customWidth="1"/>
    <col min="2" max="2" width="12.2" style="1" customWidth="1"/>
    <col min="3" max="3" width="11.8636363636364" style="1" customWidth="1"/>
    <col min="4" max="4" width="13" style="1" customWidth="1"/>
    <col min="5" max="7" width="10.8" style="1" customWidth="1"/>
    <col min="8" max="9" width="13" style="1" customWidth="1"/>
    <col min="10" max="10" width="10.8" style="1" customWidth="1"/>
    <col min="11" max="12" width="13" style="1" customWidth="1"/>
    <col min="13" max="13" width="18.6636363636364" style="2" customWidth="1"/>
    <col min="14" max="14" width="27" customWidth="1"/>
    <col min="15" max="15" width="19.8636363636364" style="1" customWidth="1"/>
    <col min="16" max="17" width="19.8636363636364" customWidth="1"/>
    <col min="18" max="18" width="84" customWidth="1"/>
  </cols>
  <sheetData>
    <row r="2" spans="3:3">
      <c r="C2" s="3"/>
    </row>
    <row r="3" spans="2:18">
      <c r="B3" s="4" t="s">
        <v>76</v>
      </c>
      <c r="C3" s="4" t="s">
        <v>77</v>
      </c>
      <c r="D3" s="4" t="s">
        <v>78</v>
      </c>
      <c r="E3" s="4" t="s">
        <v>79</v>
      </c>
      <c r="F3" s="4" t="s">
        <v>80</v>
      </c>
      <c r="G3" s="4" t="s">
        <v>81</v>
      </c>
      <c r="H3" s="4" t="s">
        <v>82</v>
      </c>
      <c r="I3" s="4" t="s">
        <v>83</v>
      </c>
      <c r="J3" s="4" t="s">
        <v>84</v>
      </c>
      <c r="K3" s="4" t="s">
        <v>85</v>
      </c>
      <c r="L3" s="4" t="s">
        <v>86</v>
      </c>
      <c r="M3" s="20" t="s">
        <v>16</v>
      </c>
      <c r="N3" s="21" t="s">
        <v>171</v>
      </c>
      <c r="O3" s="21" t="s">
        <v>172</v>
      </c>
      <c r="P3" s="21" t="s">
        <v>89</v>
      </c>
      <c r="Q3" s="21" t="s">
        <v>173</v>
      </c>
      <c r="R3" s="31" t="s">
        <v>91</v>
      </c>
    </row>
    <row r="4" ht="15" spans="1:18">
      <c r="A4" s="5" t="s">
        <v>92</v>
      </c>
      <c r="B4" s="6">
        <v>1743.9</v>
      </c>
      <c r="C4" s="6">
        <v>1020.3</v>
      </c>
      <c r="D4" s="6">
        <v>651.43</v>
      </c>
      <c r="E4" s="6">
        <v>551.06</v>
      </c>
      <c r="F4" s="6">
        <v>489.41</v>
      </c>
      <c r="G4" s="6">
        <v>636.73</v>
      </c>
      <c r="H4" s="6">
        <v>590.53</v>
      </c>
      <c r="I4" s="6">
        <v>236.8865</v>
      </c>
      <c r="J4" s="6">
        <v>467.2535</v>
      </c>
      <c r="K4" s="6">
        <v>580.53</v>
      </c>
      <c r="L4" s="6">
        <v>294.9869</v>
      </c>
      <c r="M4" s="2" t="s">
        <v>18</v>
      </c>
      <c r="R4" s="32" t="s">
        <v>93</v>
      </c>
    </row>
    <row r="5" ht="15" spans="1:18">
      <c r="A5" s="5" t="s">
        <v>94</v>
      </c>
      <c r="B5" s="6">
        <v>23.18</v>
      </c>
      <c r="C5" s="6">
        <v>7.7832</v>
      </c>
      <c r="D5" s="6">
        <v>4.8132</v>
      </c>
      <c r="E5" s="6">
        <v>2.2728</v>
      </c>
      <c r="F5" s="6">
        <v>2.2511</v>
      </c>
      <c r="G5" s="6">
        <v>2.4971</v>
      </c>
      <c r="H5" s="6">
        <v>4.7974</v>
      </c>
      <c r="I5" s="6">
        <v>0.5696</v>
      </c>
      <c r="J5" s="6">
        <v>1.6227</v>
      </c>
      <c r="K5" s="6">
        <v>0.4909</v>
      </c>
      <c r="L5" s="6">
        <v>7.2576</v>
      </c>
      <c r="M5" s="2" t="s">
        <v>20</v>
      </c>
      <c r="R5" s="32"/>
    </row>
    <row r="6" ht="15" spans="1:18">
      <c r="A6" s="5" t="s">
        <v>95</v>
      </c>
      <c r="B6" s="6">
        <v>10606.43</v>
      </c>
      <c r="C6" s="6">
        <v>6874.6</v>
      </c>
      <c r="D6" s="6">
        <v>6487.4</v>
      </c>
      <c r="E6" s="6">
        <v>5320.57</v>
      </c>
      <c r="F6" s="6">
        <v>5896.47</v>
      </c>
      <c r="G6" s="6">
        <v>6254.86</v>
      </c>
      <c r="H6" s="6">
        <v>5897.88</v>
      </c>
      <c r="I6" s="6">
        <v>3755.82</v>
      </c>
      <c r="J6" s="6">
        <v>3366.38</v>
      </c>
      <c r="K6" s="6">
        <v>6078.85</v>
      </c>
      <c r="L6" s="6">
        <v>5456.59</v>
      </c>
      <c r="M6" s="22" t="s">
        <v>96</v>
      </c>
      <c r="N6" s="32"/>
      <c r="R6" s="32"/>
    </row>
    <row r="7" ht="15" spans="1:18">
      <c r="A7" s="5" t="s">
        <v>97</v>
      </c>
      <c r="B7" s="6">
        <v>326.13</v>
      </c>
      <c r="C7" s="6">
        <v>139.7</v>
      </c>
      <c r="D7" s="6">
        <v>91.0803</v>
      </c>
      <c r="E7" s="6">
        <v>70.6642</v>
      </c>
      <c r="F7" s="6">
        <v>60.2847</v>
      </c>
      <c r="G7" s="6">
        <v>70.21</v>
      </c>
      <c r="H7" s="6">
        <v>84.13</v>
      </c>
      <c r="I7" s="6">
        <v>11.6046</v>
      </c>
      <c r="J7" s="6">
        <v>31.5835</v>
      </c>
      <c r="K7" s="6">
        <v>15.5286</v>
      </c>
      <c r="L7" s="6">
        <v>29.8334</v>
      </c>
      <c r="M7" s="22"/>
      <c r="N7" s="32"/>
      <c r="R7" s="32"/>
    </row>
    <row r="8" ht="15" spans="1:17">
      <c r="A8" s="5" t="s">
        <v>98</v>
      </c>
      <c r="B8" s="6">
        <f>B40/$O$40*$O$8</f>
        <v>65.3890997182752</v>
      </c>
      <c r="C8" s="6">
        <f t="shared" ref="C8:L8" si="0">C40/$O$40*$O$8</f>
        <v>37.0253865490608</v>
      </c>
      <c r="D8" s="6">
        <f t="shared" si="0"/>
        <v>23.6066737570549</v>
      </c>
      <c r="E8" s="6">
        <f t="shared" si="0"/>
        <v>19.5866062745209</v>
      </c>
      <c r="F8" s="6">
        <f t="shared" si="0"/>
        <v>17.4432866880324</v>
      </c>
      <c r="G8" s="6">
        <f t="shared" si="0"/>
        <v>22.6038234313698</v>
      </c>
      <c r="H8" s="6">
        <f t="shared" si="0"/>
        <v>21.4921258874803</v>
      </c>
      <c r="I8" s="6">
        <f t="shared" si="0"/>
        <v>8.33270519489114</v>
      </c>
      <c r="J8" s="6">
        <f t="shared" si="0"/>
        <v>11.7319275570304</v>
      </c>
      <c r="K8" s="6">
        <f t="shared" si="0"/>
        <v>20.2285968736115</v>
      </c>
      <c r="L8" s="6">
        <f t="shared" si="0"/>
        <v>9.23086806867277</v>
      </c>
      <c r="M8" s="22" t="s">
        <v>18</v>
      </c>
      <c r="N8" s="32"/>
      <c r="O8" s="6">
        <v>256.6711</v>
      </c>
      <c r="Q8" s="1">
        <v>4029.59</v>
      </c>
    </row>
    <row r="9" ht="15" spans="1:17">
      <c r="A9" s="5" t="s">
        <v>99</v>
      </c>
      <c r="B9" s="6">
        <v>58.79</v>
      </c>
      <c r="C9" s="6">
        <v>35.79</v>
      </c>
      <c r="D9" s="6">
        <v>26.44</v>
      </c>
      <c r="E9" s="6">
        <f>($O$9-SUM($B$9:$D$9))*E40/SUM($E40:$L40)</f>
        <v>14.8762329395908</v>
      </c>
      <c r="F9" s="6">
        <f t="shared" ref="F9:L9" si="1">($O$9-SUM($B$9:$D$9))*F40/SUM($E40:$L40)</f>
        <v>13.2483592290712</v>
      </c>
      <c r="G9" s="6">
        <f t="shared" si="1"/>
        <v>17.1678410224571</v>
      </c>
      <c r="H9" s="6">
        <f t="shared" si="1"/>
        <v>16.3234950755646</v>
      </c>
      <c r="I9" s="6">
        <f t="shared" si="1"/>
        <v>6.32877701010358</v>
      </c>
      <c r="J9" s="6">
        <f t="shared" si="1"/>
        <v>8.91052205382917</v>
      </c>
      <c r="K9" s="6">
        <f t="shared" si="1"/>
        <v>15.3638315344286</v>
      </c>
      <c r="L9" s="6">
        <f t="shared" si="1"/>
        <v>7.010941134955</v>
      </c>
      <c r="M9" s="22"/>
      <c r="N9" s="32"/>
      <c r="O9" s="1">
        <v>220.25</v>
      </c>
      <c r="Q9" s="1">
        <v>2151.45</v>
      </c>
    </row>
    <row r="10" ht="15" spans="1:17">
      <c r="A10" s="5" t="s">
        <v>100</v>
      </c>
      <c r="B10" s="7">
        <v>658</v>
      </c>
      <c r="C10" s="7">
        <v>297</v>
      </c>
      <c r="D10" s="7">
        <f>($O$10-SUM($B$10:$C$10,$G$10,$J$10:$K$10))*D8/SUM($D$8:$F$8,$H$8:$I$8,$L$8)</f>
        <v>184.70044160089</v>
      </c>
      <c r="E10" s="7">
        <f>($O$10-SUM($B$10:$C$10,$G$10,$J$10:$K$10))*E8/SUM($D$8:$F$8,$H$8:$I$8,$L$8)</f>
        <v>153.247122639869</v>
      </c>
      <c r="F10" s="7">
        <f>($O$10-SUM($B$10:$C$10,$G$10,$J$10:$K$10))*F8/SUM($D$8:$F$8,$H$8:$I$8,$L$8)</f>
        <v>136.477624395841</v>
      </c>
      <c r="G10" s="7">
        <v>137</v>
      </c>
      <c r="H10" s="7">
        <f>($O$10-SUM($B$10:$C$10,$G$10,$J$10:$K$10))*H8/SUM($D$8:$F$8,$H$8:$I$8,$L$8)</f>
        <v>168.156055495671</v>
      </c>
      <c r="I10" s="7">
        <f>($O$10-SUM($B$10:$C$10,$G$10,$J$10:$K$10))*I8/SUM($D$8:$F$8,$H$8:$I$8,$L$8)</f>
        <v>65.1957300323377</v>
      </c>
      <c r="J10" s="7">
        <v>143</v>
      </c>
      <c r="K10" s="7">
        <v>145</v>
      </c>
      <c r="L10" s="7">
        <f>($O$10-SUM($B$10:$C$10,$G$10,$J$10:$K$10))*L8/SUM($D$8:$F$8,$H$8:$I$8,$L$8)</f>
        <v>72.2230258353906</v>
      </c>
      <c r="M10" s="22" t="s">
        <v>27</v>
      </c>
      <c r="N10" s="32"/>
      <c r="O10" s="1">
        <v>2160</v>
      </c>
      <c r="Q10" s="1">
        <v>26650</v>
      </c>
    </row>
    <row r="11" ht="15" spans="1:18">
      <c r="A11" s="5" t="s">
        <v>101</v>
      </c>
      <c r="B11" s="7">
        <v>195</v>
      </c>
      <c r="C11" s="7">
        <v>135</v>
      </c>
      <c r="D11" s="7">
        <v>83</v>
      </c>
      <c r="E11" s="7">
        <f>($O$11-SUM($B$11:$D$11,$F$11,$H11:$K11))*E9/SUM($E$9,$G9,$L$9)</f>
        <v>65.5155825507789</v>
      </c>
      <c r="F11" s="7">
        <v>49</v>
      </c>
      <c r="G11" s="7">
        <f>($O$11-SUM($B$11:$D$11,$F$11,$H11:$K11))*G9/SUM($E$9,$G9,$L$9)</f>
        <v>75.6079250905021</v>
      </c>
      <c r="H11" s="7">
        <v>61</v>
      </c>
      <c r="I11" s="7">
        <v>37</v>
      </c>
      <c r="J11" s="7">
        <v>45</v>
      </c>
      <c r="K11" s="7">
        <v>54</v>
      </c>
      <c r="L11" s="7">
        <f>($O$11-SUM($B$11:$D$11,$F$11,$H11:$K11))*L9/SUM($E$9,$G9,$L$9)</f>
        <v>30.8764923587189</v>
      </c>
      <c r="M11" s="22"/>
      <c r="N11" s="32"/>
      <c r="O11" s="1">
        <v>831</v>
      </c>
      <c r="Q11" s="1">
        <v>12803</v>
      </c>
      <c r="R11" s="33" t="s">
        <v>102</v>
      </c>
    </row>
    <row r="12" ht="15" spans="1:17">
      <c r="A12" s="5" t="s">
        <v>103</v>
      </c>
      <c r="B12" s="6">
        <f>B10/$O$10*$O$12</f>
        <v>0.840991018518519</v>
      </c>
      <c r="C12" s="6">
        <f t="shared" ref="C12:L12" si="2">C10/$O$10*$O$12</f>
        <v>0.37959625</v>
      </c>
      <c r="D12" s="6">
        <f t="shared" si="2"/>
        <v>0.236065976447952</v>
      </c>
      <c r="E12" s="6">
        <f t="shared" si="2"/>
        <v>0.195865431236985</v>
      </c>
      <c r="F12" s="6">
        <f t="shared" si="2"/>
        <v>0.174432304476666</v>
      </c>
      <c r="G12" s="6">
        <f t="shared" si="2"/>
        <v>0.175099953703704</v>
      </c>
      <c r="H12" s="6">
        <f t="shared" si="2"/>
        <v>0.21492056592912</v>
      </c>
      <c r="I12" s="6">
        <f t="shared" si="2"/>
        <v>0.0833267832871642</v>
      </c>
      <c r="J12" s="6">
        <f t="shared" si="2"/>
        <v>0.182768564814815</v>
      </c>
      <c r="K12" s="6">
        <f t="shared" si="2"/>
        <v>0.185324768518519</v>
      </c>
      <c r="L12" s="6">
        <f t="shared" si="2"/>
        <v>0.0923083830665569</v>
      </c>
      <c r="M12" s="22" t="s">
        <v>22</v>
      </c>
      <c r="N12" s="32"/>
      <c r="O12" s="6">
        <v>2.7607</v>
      </c>
      <c r="Q12" s="1">
        <v>34.1312</v>
      </c>
    </row>
    <row r="13" ht="15" spans="1:17">
      <c r="A13" s="5" t="s">
        <v>104</v>
      </c>
      <c r="B13" s="6">
        <v>2.76</v>
      </c>
      <c r="C13" s="6">
        <v>1.81</v>
      </c>
      <c r="D13" s="6">
        <v>1.32</v>
      </c>
      <c r="E13" s="6">
        <f>($O13-SUM($B13:$D13))*E11/SUM($E11:$L11)</f>
        <v>0.761736199035372</v>
      </c>
      <c r="F13" s="6">
        <f t="shared" ref="F13:L13" si="3">($O13-SUM($B13:$D13))*F11/SUM($E11:$L11)</f>
        <v>0.569712918660287</v>
      </c>
      <c r="G13" s="6">
        <f t="shared" si="3"/>
        <v>0.879077789329761</v>
      </c>
      <c r="H13" s="6">
        <f t="shared" si="3"/>
        <v>0.709234449760766</v>
      </c>
      <c r="I13" s="6">
        <f t="shared" si="3"/>
        <v>0.430191387559809</v>
      </c>
      <c r="J13" s="6">
        <f t="shared" si="3"/>
        <v>0.523205741626794</v>
      </c>
      <c r="K13" s="6">
        <f t="shared" si="3"/>
        <v>0.627846889952153</v>
      </c>
      <c r="L13" s="6">
        <f t="shared" si="3"/>
        <v>0.358994624075057</v>
      </c>
      <c r="M13" s="22"/>
      <c r="N13" s="32"/>
      <c r="O13" s="1">
        <v>10.75</v>
      </c>
      <c r="Q13" s="1">
        <f>136.19*12</f>
        <v>1634.28</v>
      </c>
    </row>
    <row r="14" ht="15" spans="1:14">
      <c r="A14" s="8" t="s">
        <v>105</v>
      </c>
      <c r="B14" s="6">
        <v>18.6407238587659</v>
      </c>
      <c r="C14" s="6">
        <v>12.8</v>
      </c>
      <c r="D14" s="6">
        <v>17.1</v>
      </c>
      <c r="E14" s="6">
        <v>17.1</v>
      </c>
      <c r="F14" s="6">
        <v>28.4</v>
      </c>
      <c r="G14" s="6">
        <v>11.8541941150637</v>
      </c>
      <c r="H14" s="6">
        <v>27.8</v>
      </c>
      <c r="I14" s="6">
        <v>22.3</v>
      </c>
      <c r="J14" s="6">
        <v>61.049076371657</v>
      </c>
      <c r="K14" s="6">
        <v>18.2992684368186</v>
      </c>
      <c r="L14" s="6">
        <v>29.2</v>
      </c>
      <c r="M14" s="22" t="s">
        <v>32</v>
      </c>
      <c r="N14" s="32"/>
    </row>
    <row r="15" ht="15" spans="1:14">
      <c r="A15" s="8" t="s">
        <v>174</v>
      </c>
      <c r="B15" s="6">
        <v>7.3</v>
      </c>
      <c r="C15" s="6">
        <f>(C5-C75)/C75*100</f>
        <v>-2.22110552763819</v>
      </c>
      <c r="D15" s="6">
        <v>15.6</v>
      </c>
      <c r="E15" s="6">
        <v>6.8</v>
      </c>
      <c r="F15" s="6">
        <v>12.4</v>
      </c>
      <c r="G15" s="6">
        <v>2.39891741162962</v>
      </c>
      <c r="H15" s="6">
        <v>5.6</v>
      </c>
      <c r="I15" s="6">
        <v>-1.5</v>
      </c>
      <c r="J15" s="6">
        <v>-0.602409638554222</v>
      </c>
      <c r="K15" s="6">
        <v>15.0996483001172</v>
      </c>
      <c r="L15" s="6">
        <v>18.5</v>
      </c>
      <c r="M15" s="22"/>
      <c r="N15" s="32"/>
    </row>
    <row r="16" ht="15" spans="1:14">
      <c r="A16" s="8" t="s">
        <v>107</v>
      </c>
      <c r="B16" s="6">
        <v>12.7</v>
      </c>
      <c r="C16" s="6">
        <v>10.4</v>
      </c>
      <c r="D16" s="6">
        <v>14.3</v>
      </c>
      <c r="E16" s="6">
        <v>14.2</v>
      </c>
      <c r="F16" s="6">
        <v>20.3</v>
      </c>
      <c r="G16" s="6">
        <v>11.4</v>
      </c>
      <c r="H16" s="6">
        <v>22</v>
      </c>
      <c r="I16" s="6">
        <v>14.6</v>
      </c>
      <c r="J16" s="6">
        <v>10.8846383151127</v>
      </c>
      <c r="K16" s="6">
        <v>17.6808233021136</v>
      </c>
      <c r="L16" s="6">
        <v>20.1</v>
      </c>
      <c r="M16" s="22"/>
      <c r="N16" s="32"/>
    </row>
    <row r="17" ht="15" spans="1:14">
      <c r="A17" s="8" t="s">
        <v>108</v>
      </c>
      <c r="B17" s="6">
        <v>3.2</v>
      </c>
      <c r="C17" s="6">
        <v>9.7</v>
      </c>
      <c r="D17" s="6">
        <v>19.1</v>
      </c>
      <c r="E17" s="6">
        <v>7.4</v>
      </c>
      <c r="F17" s="6">
        <v>13.1</v>
      </c>
      <c r="G17" s="6">
        <v>0.83297429268993</v>
      </c>
      <c r="H17" s="6">
        <v>5.6</v>
      </c>
      <c r="I17" s="6">
        <v>-4.1</v>
      </c>
      <c r="J17" s="6">
        <v>0.145858105430044</v>
      </c>
      <c r="K17" s="6">
        <v>42.6078971533517</v>
      </c>
      <c r="L17" s="6">
        <v>15.7</v>
      </c>
      <c r="M17" s="22"/>
      <c r="N17" s="32"/>
    </row>
    <row r="18" ht="15" spans="1:18">
      <c r="A18" s="9" t="s">
        <v>175</v>
      </c>
      <c r="B18" s="6">
        <f>B40/B52*B49</f>
        <v>2.07015065382224</v>
      </c>
      <c r="C18" s="6">
        <f t="shared" ref="C18:L18" si="4">C40/C52*C49</f>
        <v>0.952278345167925</v>
      </c>
      <c r="D18" s="6">
        <f t="shared" si="4"/>
        <v>0.445065582166538</v>
      </c>
      <c r="E18" s="6">
        <f t="shared" si="4"/>
        <v>0.585717573195556</v>
      </c>
      <c r="F18" s="6">
        <f t="shared" si="4"/>
        <v>0.300343972969325</v>
      </c>
      <c r="G18" s="6">
        <f t="shared" si="4"/>
        <v>0.50588579463082</v>
      </c>
      <c r="H18" s="6">
        <f t="shared" si="4"/>
        <v>0.42573493386946</v>
      </c>
      <c r="I18" s="6">
        <f t="shared" si="4"/>
        <v>0.0795131680158192</v>
      </c>
      <c r="J18" s="6">
        <f t="shared" si="4"/>
        <v>0.124086672860942</v>
      </c>
      <c r="K18" s="6">
        <f t="shared" si="4"/>
        <v>0.51883851222154</v>
      </c>
      <c r="L18" s="6">
        <f t="shared" si="4"/>
        <v>0.0616883107279867</v>
      </c>
      <c r="M18" s="2" t="s">
        <v>22</v>
      </c>
      <c r="R18" t="e">
        <f>P18/Q18</f>
        <v>#DIV/0!</v>
      </c>
    </row>
    <row r="19" ht="15" spans="1:13">
      <c r="A19" s="9" t="s">
        <v>110</v>
      </c>
      <c r="B19" s="6">
        <f>B42/B41*100</f>
        <v>3.78355017085049</v>
      </c>
      <c r="C19" s="6">
        <f t="shared" ref="C19:L19" si="5">C42/C41*100</f>
        <v>2.24595766037895</v>
      </c>
      <c r="D19" s="6">
        <f t="shared" si="5"/>
        <v>2.78538999550084</v>
      </c>
      <c r="E19" s="6">
        <f t="shared" si="5"/>
        <v>4.36459514528569</v>
      </c>
      <c r="F19" s="6">
        <f t="shared" si="5"/>
        <v>5.41738071021984</v>
      </c>
      <c r="G19" s="6">
        <f t="shared" si="5"/>
        <v>3.95688250959961</v>
      </c>
      <c r="H19" s="6">
        <f t="shared" si="5"/>
        <v>3.17709858172726</v>
      </c>
      <c r="I19" s="6">
        <f t="shared" si="5"/>
        <v>1.55998804554232</v>
      </c>
      <c r="J19" s="6">
        <f t="shared" si="5"/>
        <v>2.47459581651944</v>
      </c>
      <c r="K19" s="6">
        <f t="shared" si="5"/>
        <v>2.70694917662759</v>
      </c>
      <c r="L19" s="6">
        <f t="shared" si="5"/>
        <v>1.33894457913791</v>
      </c>
      <c r="M19" s="2" t="s">
        <v>32</v>
      </c>
    </row>
    <row r="20" spans="2:1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2:1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ht="15" spans="1:13">
      <c r="A22" s="10" t="s">
        <v>111</v>
      </c>
      <c r="B22" s="6">
        <v>7.6</v>
      </c>
      <c r="C22" s="6">
        <f>(C58-C57)/C57*100</f>
        <v>6.2204859620503</v>
      </c>
      <c r="D22" s="6">
        <v>6.3</v>
      </c>
      <c r="E22" s="6">
        <v>7.2</v>
      </c>
      <c r="F22" s="6">
        <v>7.9</v>
      </c>
      <c r="G22" s="6">
        <v>7.4</v>
      </c>
      <c r="H22" s="6">
        <v>7.8</v>
      </c>
      <c r="I22" s="6">
        <v>7.3</v>
      </c>
      <c r="J22" s="6">
        <v>9.9</v>
      </c>
      <c r="K22" s="6">
        <v>7</v>
      </c>
      <c r="L22" s="6">
        <v>6.6</v>
      </c>
      <c r="M22" s="2" t="s">
        <v>112</v>
      </c>
    </row>
    <row r="23" ht="15" spans="1:13">
      <c r="A23" s="10" t="s">
        <v>113</v>
      </c>
      <c r="B23" s="6">
        <v>6.94</v>
      </c>
      <c r="C23" s="6">
        <v>3.59</v>
      </c>
      <c r="D23" s="6">
        <v>8.1</v>
      </c>
      <c r="E23" s="6">
        <v>3.14</v>
      </c>
      <c r="F23" s="6">
        <v>3.45</v>
      </c>
      <c r="G23" s="6">
        <v>2.64</v>
      </c>
      <c r="H23" s="6">
        <v>4.02</v>
      </c>
      <c r="I23" s="6">
        <v>5.56</v>
      </c>
      <c r="J23" s="6">
        <v>0.4</v>
      </c>
      <c r="K23" s="6">
        <v>5.09</v>
      </c>
      <c r="L23" s="6">
        <v>6.1</v>
      </c>
      <c r="M23" s="2" t="s">
        <v>32</v>
      </c>
    </row>
    <row r="24" ht="15" spans="1:13">
      <c r="A24" s="10" t="s">
        <v>114</v>
      </c>
      <c r="B24" s="6">
        <v>75.1</v>
      </c>
      <c r="C24" s="6">
        <v>71.1</v>
      </c>
      <c r="D24" s="6">
        <v>67.2</v>
      </c>
      <c r="E24" s="6">
        <v>59.2</v>
      </c>
      <c r="F24" s="6">
        <v>57.4</v>
      </c>
      <c r="G24" s="6">
        <v>62.1</v>
      </c>
      <c r="H24" s="6">
        <v>63.3</v>
      </c>
      <c r="I24" s="6">
        <v>49</v>
      </c>
      <c r="J24" s="6">
        <v>66.7</v>
      </c>
      <c r="K24" s="6">
        <v>59.5</v>
      </c>
      <c r="L24" s="6">
        <v>55.2</v>
      </c>
      <c r="M24" s="2" t="s">
        <v>112</v>
      </c>
    </row>
    <row r="25" ht="15" spans="1:13">
      <c r="A25" s="10" t="s">
        <v>115</v>
      </c>
      <c r="B25" s="6">
        <v>32226.2</v>
      </c>
      <c r="C25" s="6">
        <v>61724.81</v>
      </c>
      <c r="D25" s="6">
        <v>6020.39</v>
      </c>
      <c r="E25" s="6">
        <v>20636</v>
      </c>
      <c r="F25" s="6">
        <v>22022.9</v>
      </c>
      <c r="G25" s="6">
        <v>48250.24</v>
      </c>
      <c r="H25" s="6">
        <v>7626.54</v>
      </c>
      <c r="I25" s="6">
        <v>12478.25</v>
      </c>
      <c r="J25" s="6">
        <v>7263</v>
      </c>
      <c r="K25" s="6">
        <v>6821.64</v>
      </c>
      <c r="L25" s="6">
        <v>6127.24</v>
      </c>
      <c r="M25" s="2" t="s">
        <v>57</v>
      </c>
    </row>
    <row r="26" ht="15" spans="1:13">
      <c r="A26" s="11" t="s">
        <v>116</v>
      </c>
      <c r="B26" s="6">
        <v>69805</v>
      </c>
      <c r="C26" s="6">
        <v>129300</v>
      </c>
      <c r="D26" s="6">
        <v>34125</v>
      </c>
      <c r="E26" s="6">
        <v>81000</v>
      </c>
      <c r="F26" s="6">
        <v>38424</v>
      </c>
      <c r="G26" s="6">
        <v>65747.42</v>
      </c>
      <c r="H26" s="6">
        <v>39210</v>
      </c>
      <c r="I26" s="6">
        <v>49415</v>
      </c>
      <c r="J26" s="6">
        <v>13869</v>
      </c>
      <c r="K26" s="6">
        <v>28083</v>
      </c>
      <c r="L26" s="6">
        <v>26248</v>
      </c>
      <c r="M26" s="2" t="s">
        <v>59</v>
      </c>
    </row>
    <row r="27" ht="15" spans="1:13">
      <c r="A27" s="10" t="s">
        <v>117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2" t="s">
        <v>57</v>
      </c>
    </row>
    <row r="28" ht="15" spans="1:13">
      <c r="A28" s="12" t="s">
        <v>118</v>
      </c>
      <c r="B28" s="6">
        <v>65.14</v>
      </c>
      <c r="C28" s="6"/>
      <c r="D28" s="6">
        <v>60.03</v>
      </c>
      <c r="E28" s="6"/>
      <c r="F28" s="6">
        <v>50.9</v>
      </c>
      <c r="G28" s="6">
        <v>54.03</v>
      </c>
      <c r="H28" s="6">
        <v>60.95</v>
      </c>
      <c r="I28" s="6">
        <v>71.5</v>
      </c>
      <c r="J28" s="6"/>
      <c r="K28" s="6">
        <v>60.3</v>
      </c>
      <c r="L28" s="6">
        <v>80.79</v>
      </c>
      <c r="M28" s="2" t="s">
        <v>32</v>
      </c>
    </row>
    <row r="29" ht="15" spans="1:18">
      <c r="A29" s="12" t="s">
        <v>119</v>
      </c>
      <c r="B29" s="6">
        <v>20601</v>
      </c>
      <c r="C29" s="6">
        <v>18683</v>
      </c>
      <c r="D29" s="6">
        <v>11601</v>
      </c>
      <c r="E29" s="6">
        <v>12710</v>
      </c>
      <c r="F29" s="6">
        <v>9195</v>
      </c>
      <c r="G29" s="6">
        <v>11744</v>
      </c>
      <c r="H29" s="6">
        <v>15502</v>
      </c>
      <c r="I29" s="6">
        <v>4699</v>
      </c>
      <c r="J29" s="6">
        <v>13801</v>
      </c>
      <c r="K29" s="6">
        <v>11470</v>
      </c>
      <c r="L29" s="6">
        <v>4401.74</v>
      </c>
      <c r="M29" s="2" t="s">
        <v>63</v>
      </c>
      <c r="R29" s="33" t="s">
        <v>120</v>
      </c>
    </row>
    <row r="30" ht="15" spans="1:13">
      <c r="A30" s="12" t="s">
        <v>121</v>
      </c>
      <c r="B30" s="6">
        <v>15.5</v>
      </c>
      <c r="C30" s="6">
        <v>11.45</v>
      </c>
      <c r="D30" s="6">
        <v>12.99</v>
      </c>
      <c r="E30" s="6">
        <v>13.34</v>
      </c>
      <c r="F30" s="6">
        <v>15.91</v>
      </c>
      <c r="G30" s="6"/>
      <c r="H30" s="6">
        <v>10.78</v>
      </c>
      <c r="I30" s="6">
        <v>12.82</v>
      </c>
      <c r="J30" s="6">
        <v>13.65</v>
      </c>
      <c r="K30" s="6">
        <v>12.54</v>
      </c>
      <c r="L30" s="6">
        <v>11.73</v>
      </c>
      <c r="M30" s="2" t="s">
        <v>65</v>
      </c>
    </row>
    <row r="31" ht="15" spans="1:13">
      <c r="A31" s="12" t="s">
        <v>122</v>
      </c>
      <c r="B31" s="6">
        <f>B71/B55</f>
        <v>1833.16914080072</v>
      </c>
      <c r="C31" s="6">
        <f t="shared" ref="C31:L31" si="6">C71/C55</f>
        <v>1029.38420176674</v>
      </c>
      <c r="D31" s="6">
        <f t="shared" si="6"/>
        <v>1753.51345390384</v>
      </c>
      <c r="E31" s="6">
        <f t="shared" si="6"/>
        <v>514.74398249453</v>
      </c>
      <c r="F31" s="6">
        <f t="shared" si="6"/>
        <v>1346.38566552901</v>
      </c>
      <c r="G31" s="6">
        <f t="shared" si="6"/>
        <v>1460.86359967716</v>
      </c>
      <c r="H31" s="6">
        <f t="shared" si="6"/>
        <v>2117.51517380909</v>
      </c>
      <c r="I31" s="6">
        <f t="shared" si="6"/>
        <v>5662.58474576271</v>
      </c>
      <c r="J31" s="6">
        <f t="shared" si="6"/>
        <v>692.731239092496</v>
      </c>
      <c r="K31" s="6">
        <f t="shared" si="6"/>
        <v>1867.16708229426</v>
      </c>
      <c r="L31" s="6">
        <f t="shared" si="6"/>
        <v>10914.7536367902</v>
      </c>
      <c r="M31" s="2" t="s">
        <v>68</v>
      </c>
    </row>
    <row r="32" ht="15" spans="1:13">
      <c r="A32" s="12" t="s">
        <v>123</v>
      </c>
      <c r="B32" s="6">
        <f>B60/B66</f>
        <v>0.0315515442792742</v>
      </c>
      <c r="C32" s="6"/>
      <c r="D32" s="6">
        <f>D60/D66</f>
        <v>0.0298672303539022</v>
      </c>
      <c r="E32" s="6"/>
      <c r="F32" s="6"/>
      <c r="G32" s="6">
        <f>G60/G66</f>
        <v>0.047275641025641</v>
      </c>
      <c r="H32" s="6"/>
      <c r="I32" s="6"/>
      <c r="J32" s="6"/>
      <c r="K32" s="6">
        <f>K60/K66</f>
        <v>0.0332920225534528</v>
      </c>
      <c r="L32" s="6">
        <v>0.06</v>
      </c>
      <c r="M32" s="2" t="s">
        <v>70</v>
      </c>
    </row>
    <row r="33" ht="15" spans="1:13">
      <c r="A33" s="12" t="s">
        <v>124</v>
      </c>
      <c r="B33" s="6">
        <f>B62/B66</f>
        <v>0.164042882157893</v>
      </c>
      <c r="C33" s="6"/>
      <c r="D33" s="6">
        <f>D62/D66</f>
        <v>0.0832135088301441</v>
      </c>
      <c r="E33" s="6"/>
      <c r="F33" s="6"/>
      <c r="G33" s="6"/>
      <c r="H33" s="6"/>
      <c r="I33" s="6"/>
      <c r="J33" s="6"/>
      <c r="K33" s="6">
        <f>K62/K66</f>
        <v>0.104342656171496</v>
      </c>
      <c r="L33" s="6"/>
      <c r="M33" s="2" t="s">
        <v>70</v>
      </c>
    </row>
    <row r="34" ht="15" spans="1:13">
      <c r="A34" s="12" t="s">
        <v>125</v>
      </c>
      <c r="B34" s="6">
        <v>93.9</v>
      </c>
      <c r="C34" s="6">
        <v>89.95</v>
      </c>
      <c r="D34" s="6">
        <v>87.3</v>
      </c>
      <c r="E34" s="6">
        <v>90.4</v>
      </c>
      <c r="F34" s="6">
        <v>91.98</v>
      </c>
      <c r="G34" s="6">
        <v>87.9</v>
      </c>
      <c r="H34" s="6">
        <v>86.2</v>
      </c>
      <c r="I34" s="6">
        <v>88.83</v>
      </c>
      <c r="J34" s="6">
        <v>86.02</v>
      </c>
      <c r="K34" s="6">
        <v>88.9</v>
      </c>
      <c r="L34" s="6">
        <v>81.1</v>
      </c>
      <c r="M34" s="2" t="s">
        <v>32</v>
      </c>
    </row>
    <row r="35" ht="15" spans="1:13">
      <c r="A35" s="12" t="s">
        <v>126</v>
      </c>
      <c r="B35" s="6">
        <v>100</v>
      </c>
      <c r="C35" s="6">
        <v>100</v>
      </c>
      <c r="D35" s="6">
        <v>99.8</v>
      </c>
      <c r="E35" s="6">
        <v>100</v>
      </c>
      <c r="F35" s="6">
        <v>98.94</v>
      </c>
      <c r="G35" s="6">
        <v>100</v>
      </c>
      <c r="H35" s="6">
        <v>99.85</v>
      </c>
      <c r="I35" s="6">
        <v>100</v>
      </c>
      <c r="J35" s="6">
        <v>100</v>
      </c>
      <c r="K35" s="6">
        <v>100</v>
      </c>
      <c r="L35" s="6">
        <v>100</v>
      </c>
      <c r="M35" s="2" t="s">
        <v>32</v>
      </c>
    </row>
    <row r="36" ht="15" spans="1:13">
      <c r="A36" s="12" t="s">
        <v>127</v>
      </c>
      <c r="B36" s="6">
        <v>89.86</v>
      </c>
      <c r="C36" s="6">
        <v>90.76</v>
      </c>
      <c r="D36" s="6">
        <v>98.09</v>
      </c>
      <c r="E36" s="6">
        <f>E68/E67*100</f>
        <v>94.5590994371482</v>
      </c>
      <c r="F36" s="6">
        <v>96.59</v>
      </c>
      <c r="G36" s="6">
        <v>95.18</v>
      </c>
      <c r="H36" s="6">
        <v>97.2</v>
      </c>
      <c r="I36" s="6">
        <f>I68/I67*100</f>
        <v>94.5597220324426</v>
      </c>
      <c r="J36" s="6"/>
      <c r="K36" s="6">
        <v>94.62</v>
      </c>
      <c r="L36" s="6">
        <v>95.34</v>
      </c>
      <c r="M36" s="2" t="s">
        <v>128</v>
      </c>
    </row>
    <row r="37" ht="15" spans="1:13">
      <c r="A37" s="12" t="s">
        <v>129</v>
      </c>
      <c r="B37" s="6">
        <f>B39/B52*100</f>
        <v>0.326263210290876</v>
      </c>
      <c r="C37" s="6">
        <f t="shared" ref="C37:L37" si="7">C39/C52*100</f>
        <v>0.250969745518256</v>
      </c>
      <c r="D37" s="6">
        <f t="shared" si="7"/>
        <v>0.180114855176036</v>
      </c>
      <c r="E37" s="6">
        <f t="shared" si="7"/>
        <v>0.324524249835948</v>
      </c>
      <c r="F37" s="6">
        <f t="shared" si="7"/>
        <v>0.511758691206544</v>
      </c>
      <c r="G37" s="6">
        <f t="shared" si="7"/>
        <v>0.166436936810224</v>
      </c>
      <c r="H37" s="6">
        <f t="shared" si="7"/>
        <v>0.320740602206845</v>
      </c>
      <c r="I37" s="6">
        <f t="shared" si="7"/>
        <v>0.656443368307775</v>
      </c>
      <c r="J37" s="6">
        <f t="shared" si="7"/>
        <v>0.281701239091464</v>
      </c>
      <c r="K37" s="6">
        <f t="shared" si="7"/>
        <v>0.254769172634898</v>
      </c>
      <c r="L37" s="6">
        <f t="shared" si="7"/>
        <v>0.37081055383884</v>
      </c>
      <c r="M37" s="2" t="s">
        <v>32</v>
      </c>
    </row>
    <row r="39" s="25" customFormat="1" spans="1:18">
      <c r="A39" s="13" t="s">
        <v>130</v>
      </c>
      <c r="B39" s="14">
        <v>30.02</v>
      </c>
      <c r="C39" s="14">
        <v>19.08</v>
      </c>
      <c r="D39" s="14">
        <v>7.75</v>
      </c>
      <c r="E39" s="14">
        <v>10.88</v>
      </c>
      <c r="F39" s="14">
        <v>10.01</v>
      </c>
      <c r="G39" s="14">
        <v>7.1</v>
      </c>
      <c r="H39" s="14">
        <v>10.29</v>
      </c>
      <c r="I39" s="14">
        <v>7.32</v>
      </c>
      <c r="J39" s="14">
        <v>2.86</v>
      </c>
      <c r="K39" s="14">
        <v>8.63</v>
      </c>
      <c r="L39" s="14">
        <v>3.9</v>
      </c>
      <c r="M39" s="23" t="s">
        <v>18</v>
      </c>
      <c r="N39" s="24"/>
      <c r="O39" s="24"/>
      <c r="R39" s="34" t="s">
        <v>131</v>
      </c>
    </row>
    <row r="40" spans="1:17">
      <c r="A40" s="15" t="s">
        <v>38</v>
      </c>
      <c r="B40" s="6">
        <v>1886.33</v>
      </c>
      <c r="C40" s="6">
        <v>1068.1</v>
      </c>
      <c r="D40" s="6">
        <v>681</v>
      </c>
      <c r="E40" s="6">
        <v>565.03</v>
      </c>
      <c r="F40" s="6">
        <v>503.2</v>
      </c>
      <c r="G40" s="6">
        <v>652.07</v>
      </c>
      <c r="H40" s="6">
        <v>620</v>
      </c>
      <c r="I40" s="6">
        <v>240.38</v>
      </c>
      <c r="J40" s="6">
        <v>338.44</v>
      </c>
      <c r="K40" s="6">
        <v>583.55</v>
      </c>
      <c r="L40" s="6">
        <v>266.29</v>
      </c>
      <c r="M40" s="26"/>
      <c r="N40" s="6">
        <f>O40/Q40</f>
        <v>0.198509115281501</v>
      </c>
      <c r="O40" s="1">
        <f>SUM(B40:L40)</f>
        <v>7404.39</v>
      </c>
      <c r="Q40" s="1">
        <v>37300</v>
      </c>
    </row>
    <row r="41" spans="1:18">
      <c r="A41" s="15" t="s">
        <v>42</v>
      </c>
      <c r="B41" s="6">
        <v>961.18</v>
      </c>
      <c r="C41" s="6">
        <v>1000.86</v>
      </c>
      <c r="D41" s="6">
        <v>488.98</v>
      </c>
      <c r="E41" s="6">
        <v>334.9</v>
      </c>
      <c r="F41" s="6">
        <v>224.57</v>
      </c>
      <c r="G41" s="6">
        <v>346.44</v>
      </c>
      <c r="H41" s="6">
        <v>352.86</v>
      </c>
      <c r="I41" s="6">
        <v>191.94</v>
      </c>
      <c r="J41" s="6">
        <v>188.19</v>
      </c>
      <c r="K41" s="6">
        <v>371.47</v>
      </c>
      <c r="L41" s="6">
        <v>217.27</v>
      </c>
      <c r="M41" s="26"/>
      <c r="N41" s="1"/>
      <c r="P41" s="1"/>
      <c r="Q41" s="1"/>
      <c r="R41" s="33" t="s">
        <v>132</v>
      </c>
    </row>
    <row r="42" spans="1:18">
      <c r="A42" s="15" t="s">
        <v>43</v>
      </c>
      <c r="B42" s="6">
        <f>B40/B52*B46</f>
        <v>36.3667275321807</v>
      </c>
      <c r="C42" s="6">
        <f t="shared" ref="C42:L42" si="8">C40/C52*C46</f>
        <v>22.4788918396687</v>
      </c>
      <c r="D42" s="6">
        <f t="shared" si="8"/>
        <v>13.62</v>
      </c>
      <c r="E42" s="6">
        <f t="shared" si="8"/>
        <v>14.6170291415618</v>
      </c>
      <c r="F42" s="6">
        <f t="shared" si="8"/>
        <v>12.1658118609407</v>
      </c>
      <c r="G42" s="6">
        <f t="shared" si="8"/>
        <v>13.7082237662569</v>
      </c>
      <c r="H42" s="6">
        <f t="shared" si="8"/>
        <v>11.2107100554828</v>
      </c>
      <c r="I42" s="6">
        <f t="shared" si="8"/>
        <v>2.99424105461394</v>
      </c>
      <c r="J42" s="6">
        <f t="shared" si="8"/>
        <v>4.65694186710793</v>
      </c>
      <c r="K42" s="6">
        <f t="shared" si="8"/>
        <v>10.0555041064185</v>
      </c>
      <c r="L42" s="6">
        <f t="shared" si="8"/>
        <v>2.90912488709294</v>
      </c>
      <c r="M42" s="26"/>
      <c r="N42" s="1"/>
      <c r="P42" s="1"/>
      <c r="Q42" s="1"/>
      <c r="R42" s="33"/>
    </row>
    <row r="43" spans="1:18">
      <c r="A43" s="15" t="s">
        <v>44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26"/>
      <c r="N43" s="1"/>
      <c r="O43" s="28">
        <v>907.85</v>
      </c>
      <c r="P43" s="1">
        <v>398.84</v>
      </c>
      <c r="Q43" s="1"/>
      <c r="R43" s="35" t="s">
        <v>176</v>
      </c>
    </row>
    <row r="44" spans="1:18">
      <c r="A44" s="16" t="s">
        <v>134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26" t="s">
        <v>32</v>
      </c>
      <c r="N44" s="1"/>
      <c r="R44" s="35"/>
    </row>
    <row r="45" spans="1:18">
      <c r="A45" s="16">
        <v>2009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26" t="s">
        <v>18</v>
      </c>
      <c r="N45" s="1"/>
      <c r="R45" s="35"/>
    </row>
    <row r="46" spans="1:18">
      <c r="A46" s="17">
        <v>2014</v>
      </c>
      <c r="B46" s="6">
        <v>177.39</v>
      </c>
      <c r="C46" s="6">
        <v>160</v>
      </c>
      <c r="D46" s="6">
        <f>D52*2/100</f>
        <v>86.0562</v>
      </c>
      <c r="E46" s="6">
        <v>86.73</v>
      </c>
      <c r="F46" s="6">
        <v>47.29</v>
      </c>
      <c r="G46" s="6">
        <v>89.68</v>
      </c>
      <c r="H46" s="6">
        <v>58.01</v>
      </c>
      <c r="I46" s="6">
        <v>13.89</v>
      </c>
      <c r="J46" s="6">
        <v>13.97</v>
      </c>
      <c r="K46" s="6">
        <v>58.37</v>
      </c>
      <c r="L46" s="6">
        <v>11.49</v>
      </c>
      <c r="M46" s="26"/>
      <c r="N46" s="1"/>
      <c r="O46" s="1">
        <v>907.9</v>
      </c>
      <c r="P46" s="29"/>
      <c r="Q46" s="29"/>
      <c r="R46" s="35"/>
    </row>
    <row r="47" spans="1:15">
      <c r="A47" s="15" t="s">
        <v>39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26" t="s">
        <v>40</v>
      </c>
      <c r="N47" s="1"/>
      <c r="O47" s="28">
        <v>33.83982</v>
      </c>
    </row>
    <row r="48" spans="1:14">
      <c r="A48" s="16" t="s">
        <v>134</v>
      </c>
      <c r="B48" s="6">
        <v>29.84</v>
      </c>
      <c r="C48" s="6">
        <v>20.03</v>
      </c>
      <c r="D48" s="6">
        <v>8.31</v>
      </c>
      <c r="E48" s="6">
        <v>10.27</v>
      </c>
      <c r="F48" s="6">
        <v>3.45</v>
      </c>
      <c r="G48" s="6">
        <v>9.78</v>
      </c>
      <c r="H48" s="6">
        <v>6.51</v>
      </c>
      <c r="I48" s="6">
        <v>1.09</v>
      </c>
      <c r="J48" s="6">
        <v>1.1</v>
      </c>
      <c r="K48" s="6">
        <v>8.9</v>
      </c>
      <c r="L48" s="6">
        <v>0.72</v>
      </c>
      <c r="M48" s="26" t="s">
        <v>32</v>
      </c>
      <c r="N48" s="1"/>
    </row>
    <row r="49" spans="1:18">
      <c r="A49" s="17">
        <v>2014</v>
      </c>
      <c r="B49" s="18">
        <f>$O47*B48/100</f>
        <v>10.097802288</v>
      </c>
      <c r="C49" s="18">
        <f t="shared" ref="C49:L49" si="9">$O47*C48/100</f>
        <v>6.778115946</v>
      </c>
      <c r="D49" s="18">
        <f t="shared" si="9"/>
        <v>2.812089042</v>
      </c>
      <c r="E49" s="18">
        <f t="shared" si="9"/>
        <v>3.475349514</v>
      </c>
      <c r="F49" s="18">
        <f t="shared" si="9"/>
        <v>1.16747379</v>
      </c>
      <c r="G49" s="18">
        <f t="shared" si="9"/>
        <v>3.309534396</v>
      </c>
      <c r="H49" s="18">
        <f t="shared" si="9"/>
        <v>2.202972282</v>
      </c>
      <c r="I49" s="18">
        <f t="shared" si="9"/>
        <v>0.368854038</v>
      </c>
      <c r="J49" s="18">
        <f t="shared" si="9"/>
        <v>0.37223802</v>
      </c>
      <c r="K49" s="18">
        <f t="shared" si="9"/>
        <v>3.01174398</v>
      </c>
      <c r="L49" s="18">
        <f t="shared" si="9"/>
        <v>0.243646704</v>
      </c>
      <c r="M49" s="26" t="s">
        <v>40</v>
      </c>
      <c r="N49" s="1"/>
      <c r="P49" s="29"/>
      <c r="Q49" s="29"/>
      <c r="R49" t="s">
        <v>135</v>
      </c>
    </row>
    <row r="50" spans="1:18">
      <c r="A50" s="15" t="s">
        <v>41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R50" s="33" t="s">
        <v>136</v>
      </c>
    </row>
    <row r="51" spans="1:14">
      <c r="A51" s="19">
        <v>2013</v>
      </c>
      <c r="B51" s="6"/>
      <c r="C51" s="6">
        <v>7128.9</v>
      </c>
      <c r="D51" s="6">
        <v>4003.86</v>
      </c>
      <c r="E51" s="6"/>
      <c r="F51" s="6"/>
      <c r="G51" s="6"/>
      <c r="H51" s="6"/>
      <c r="I51" s="6"/>
      <c r="J51" s="6"/>
      <c r="K51" s="6"/>
      <c r="L51" s="6"/>
      <c r="M51" s="26" t="s">
        <v>18</v>
      </c>
      <c r="N51" s="1"/>
    </row>
    <row r="52" spans="1:18">
      <c r="A52" s="17">
        <v>2014</v>
      </c>
      <c r="B52" s="6">
        <v>9201.16</v>
      </c>
      <c r="C52" s="6">
        <v>7602.51</v>
      </c>
      <c r="D52" s="6">
        <v>4302.81</v>
      </c>
      <c r="E52" s="6">
        <v>3352.6</v>
      </c>
      <c r="F52" s="6">
        <v>1956</v>
      </c>
      <c r="G52" s="6">
        <v>4265.88</v>
      </c>
      <c r="H52" s="6">
        <v>3208.2</v>
      </c>
      <c r="I52" s="6">
        <v>1115.1</v>
      </c>
      <c r="J52" s="6">
        <v>1015.26</v>
      </c>
      <c r="K52" s="6">
        <v>3387.38</v>
      </c>
      <c r="L52" s="6">
        <v>1051.75</v>
      </c>
      <c r="M52" s="30"/>
      <c r="N52" s="28"/>
      <c r="O52" s="28"/>
      <c r="P52" s="29"/>
      <c r="Q52" s="29"/>
      <c r="R52" s="29"/>
    </row>
    <row r="53" spans="1:12">
      <c r="A53" s="19" t="s">
        <v>137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4">
      <c r="A54" s="19">
        <v>2013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26" t="s">
        <v>22</v>
      </c>
      <c r="N54" s="1"/>
    </row>
    <row r="55" spans="1:18">
      <c r="A55" s="17">
        <v>2014</v>
      </c>
      <c r="B55" s="6">
        <v>889.2</v>
      </c>
      <c r="C55" s="6">
        <v>781.1</v>
      </c>
      <c r="D55" s="6">
        <v>906.8</v>
      </c>
      <c r="E55" s="6">
        <v>457</v>
      </c>
      <c r="F55" s="6">
        <v>293</v>
      </c>
      <c r="G55" s="6">
        <v>495.6</v>
      </c>
      <c r="H55" s="6">
        <v>543.7</v>
      </c>
      <c r="I55" s="6">
        <v>212.4</v>
      </c>
      <c r="J55" s="6">
        <v>114.6</v>
      </c>
      <c r="K55" s="6">
        <v>601.5</v>
      </c>
      <c r="L55" s="6">
        <v>213.1</v>
      </c>
      <c r="M55" s="30"/>
      <c r="N55" s="28"/>
      <c r="O55" s="28"/>
      <c r="P55" s="29"/>
      <c r="Q55" s="29"/>
      <c r="R55" s="29"/>
    </row>
    <row r="56" spans="1:12">
      <c r="A56" s="19" t="s">
        <v>138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4">
      <c r="A57" s="19">
        <v>2013</v>
      </c>
      <c r="B57" s="6"/>
      <c r="C57" s="6">
        <v>9.3176</v>
      </c>
      <c r="D57" s="6"/>
      <c r="E57" s="6"/>
      <c r="F57" s="6"/>
      <c r="G57" s="6"/>
      <c r="H57" s="6"/>
      <c r="I57" s="6"/>
      <c r="J57" s="6"/>
      <c r="K57" s="6"/>
      <c r="L57" s="6"/>
      <c r="M57" s="26" t="s">
        <v>139</v>
      </c>
      <c r="N57" s="1"/>
    </row>
    <row r="58" spans="1:18">
      <c r="A58" s="17">
        <v>2014</v>
      </c>
      <c r="B58" s="18"/>
      <c r="C58" s="18">
        <v>9.8972</v>
      </c>
      <c r="D58" s="18">
        <f>D52/D55</f>
        <v>4.74504852227614</v>
      </c>
      <c r="E58" s="18"/>
      <c r="F58" s="18"/>
      <c r="G58" s="18"/>
      <c r="H58" s="18"/>
      <c r="I58" s="18"/>
      <c r="J58" s="18"/>
      <c r="K58" s="18"/>
      <c r="L58" s="18"/>
      <c r="M58" s="30"/>
      <c r="N58" s="28"/>
      <c r="O58" s="28"/>
      <c r="P58" s="29"/>
      <c r="Q58" s="29"/>
      <c r="R58" s="29"/>
    </row>
    <row r="59" spans="1:15">
      <c r="A59" s="19" t="s">
        <v>141</v>
      </c>
      <c r="B59" s="6">
        <v>338.75</v>
      </c>
      <c r="C59" s="6"/>
      <c r="D59" s="6">
        <v>364.54</v>
      </c>
      <c r="E59" s="6"/>
      <c r="F59" s="6"/>
      <c r="G59" s="6"/>
      <c r="H59" s="6"/>
      <c r="I59" s="6"/>
      <c r="J59" s="6"/>
      <c r="K59" s="6">
        <v>298.18</v>
      </c>
      <c r="L59" s="6"/>
      <c r="M59" s="26" t="s">
        <v>142</v>
      </c>
      <c r="N59" s="1"/>
      <c r="O59" s="1">
        <v>2964.9</v>
      </c>
    </row>
    <row r="60" spans="1:14">
      <c r="A60" s="19"/>
      <c r="B60" s="6">
        <f>B59/15</f>
        <v>22.5833333333333</v>
      </c>
      <c r="C60" s="6">
        <f t="shared" ref="C60:L60" si="10">C59/15</f>
        <v>0</v>
      </c>
      <c r="D60" s="6">
        <f t="shared" si="10"/>
        <v>24.3026666666667</v>
      </c>
      <c r="E60" s="6">
        <f t="shared" si="10"/>
        <v>0</v>
      </c>
      <c r="F60" s="6">
        <f t="shared" si="10"/>
        <v>0</v>
      </c>
      <c r="G60" s="6">
        <v>20.945</v>
      </c>
      <c r="H60" s="6">
        <f t="shared" si="10"/>
        <v>0</v>
      </c>
      <c r="I60" s="6">
        <f t="shared" si="10"/>
        <v>0</v>
      </c>
      <c r="J60" s="6">
        <f t="shared" si="10"/>
        <v>0</v>
      </c>
      <c r="K60" s="6">
        <f t="shared" si="10"/>
        <v>19.8786666666667</v>
      </c>
      <c r="L60" s="6">
        <f t="shared" si="10"/>
        <v>0</v>
      </c>
      <c r="M60" s="26" t="s">
        <v>144</v>
      </c>
      <c r="N60" s="1"/>
    </row>
    <row r="61" spans="1:15">
      <c r="A61" s="19" t="s">
        <v>145</v>
      </c>
      <c r="B61" s="6">
        <v>1761.23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26" t="s">
        <v>142</v>
      </c>
      <c r="N61" s="1"/>
      <c r="O61" s="1">
        <v>8480</v>
      </c>
    </row>
    <row r="62" spans="2:14">
      <c r="B62" s="6">
        <f>B61/15</f>
        <v>117.415333333333</v>
      </c>
      <c r="C62" s="6"/>
      <c r="D62" s="6">
        <v>67.71</v>
      </c>
      <c r="E62" s="6"/>
      <c r="F62" s="6"/>
      <c r="G62" s="6"/>
      <c r="H62" s="6"/>
      <c r="I62" s="6"/>
      <c r="J62" s="6"/>
      <c r="K62" s="6">
        <v>62.303</v>
      </c>
      <c r="L62" s="6"/>
      <c r="M62" s="26" t="s">
        <v>144</v>
      </c>
      <c r="N62" s="1"/>
    </row>
    <row r="63" spans="1:14">
      <c r="A63" s="19" t="s">
        <v>177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26"/>
      <c r="N63" s="1"/>
    </row>
    <row r="64" spans="1:14">
      <c r="A64" s="19" t="s">
        <v>178</v>
      </c>
      <c r="B64" s="6">
        <v>16596</v>
      </c>
      <c r="C64" s="6">
        <v>9816</v>
      </c>
      <c r="D64" s="6">
        <v>12065</v>
      </c>
      <c r="E64" s="6">
        <v>3915</v>
      </c>
      <c r="F64" s="6">
        <v>5820</v>
      </c>
      <c r="G64" s="6">
        <v>8279</v>
      </c>
      <c r="H64" s="6">
        <v>10942</v>
      </c>
      <c r="I64" s="6">
        <v>8845</v>
      </c>
      <c r="J64" s="6">
        <v>1455</v>
      </c>
      <c r="K64" s="6">
        <v>9411</v>
      </c>
      <c r="L64" s="6">
        <v>17298</v>
      </c>
      <c r="M64" s="26" t="s">
        <v>179</v>
      </c>
      <c r="N64" s="1"/>
    </row>
    <row r="65" spans="1:18">
      <c r="A65" s="19" t="s">
        <v>146</v>
      </c>
      <c r="B65" s="6">
        <v>7003</v>
      </c>
      <c r="C65" s="6">
        <v>4069</v>
      </c>
      <c r="D65" s="6">
        <v>3976</v>
      </c>
      <c r="E65" s="6">
        <v>2484</v>
      </c>
      <c r="F65" s="6">
        <v>2411</v>
      </c>
      <c r="G65" s="6">
        <v>2833</v>
      </c>
      <c r="H65" s="6">
        <v>2931</v>
      </c>
      <c r="I65" s="6">
        <v>1049</v>
      </c>
      <c r="J65" s="6">
        <v>966</v>
      </c>
      <c r="K65" s="6">
        <v>2715</v>
      </c>
      <c r="L65" s="6">
        <v>1123</v>
      </c>
      <c r="M65" s="26" t="s">
        <v>63</v>
      </c>
      <c r="N65" s="1"/>
      <c r="R65" t="s">
        <v>147</v>
      </c>
    </row>
    <row r="66" spans="1:14">
      <c r="A66" s="19" t="s">
        <v>148</v>
      </c>
      <c r="B66" s="6">
        <v>715.76</v>
      </c>
      <c r="C66" s="6">
        <v>583.78</v>
      </c>
      <c r="D66" s="6">
        <v>813.69</v>
      </c>
      <c r="E66" s="6">
        <v>348.14</v>
      </c>
      <c r="F66" s="6">
        <v>263.78</v>
      </c>
      <c r="G66" s="6">
        <v>443.04</v>
      </c>
      <c r="H66" s="6">
        <v>475.07</v>
      </c>
      <c r="I66" s="6">
        <v>255.67</v>
      </c>
      <c r="J66" s="6">
        <v>97.49</v>
      </c>
      <c r="K66" s="6">
        <v>597.1</v>
      </c>
      <c r="L66" s="6">
        <v>265.65</v>
      </c>
      <c r="M66" s="26" t="s">
        <v>22</v>
      </c>
      <c r="N66" s="1"/>
    </row>
    <row r="67" spans="1:14">
      <c r="A67" s="19" t="s">
        <v>149</v>
      </c>
      <c r="B67" s="6">
        <v>737.11</v>
      </c>
      <c r="C67" s="6">
        <v>1196.32</v>
      </c>
      <c r="D67" s="6">
        <v>247.49</v>
      </c>
      <c r="E67" s="6">
        <v>533</v>
      </c>
      <c r="F67" s="6">
        <v>185.93</v>
      </c>
      <c r="G67" s="6">
        <v>376.4981</v>
      </c>
      <c r="H67" s="6">
        <v>227</v>
      </c>
      <c r="I67" s="6">
        <v>512.29</v>
      </c>
      <c r="J67" s="6">
        <v>94.07</v>
      </c>
      <c r="K67" s="6">
        <v>272.49</v>
      </c>
      <c r="L67" s="6">
        <v>189.23</v>
      </c>
      <c r="M67" s="26" t="s">
        <v>57</v>
      </c>
      <c r="N67" s="1"/>
    </row>
    <row r="68" spans="1:14">
      <c r="A68" s="19" t="s">
        <v>150</v>
      </c>
      <c r="B68" s="6">
        <v>662.34</v>
      </c>
      <c r="C68" s="6">
        <v>1114.2</v>
      </c>
      <c r="D68" s="6">
        <v>242.75</v>
      </c>
      <c r="E68" s="6">
        <v>504</v>
      </c>
      <c r="F68" s="6">
        <v>179.6</v>
      </c>
      <c r="G68" s="6">
        <v>358.4575</v>
      </c>
      <c r="H68" s="6">
        <v>225.27</v>
      </c>
      <c r="I68" s="6">
        <v>484.42</v>
      </c>
      <c r="J68" s="6">
        <v>94.27</v>
      </c>
      <c r="K68" s="6">
        <v>257.83</v>
      </c>
      <c r="L68" s="6">
        <v>180.41</v>
      </c>
      <c r="M68" s="26"/>
      <c r="N68" s="1"/>
    </row>
    <row r="69" spans="1:14">
      <c r="A69" s="19" t="s">
        <v>151</v>
      </c>
      <c r="B69" s="6"/>
      <c r="C69" s="6">
        <v>26.35</v>
      </c>
      <c r="D69" s="6">
        <v>0.23</v>
      </c>
      <c r="E69" s="6"/>
      <c r="F69" s="6"/>
      <c r="G69" s="6">
        <v>2.5263</v>
      </c>
      <c r="H69" s="6"/>
      <c r="I69" s="6"/>
      <c r="J69" s="6"/>
      <c r="K69" s="6">
        <v>2.42</v>
      </c>
      <c r="L69" s="6"/>
      <c r="M69" s="26"/>
      <c r="N69" s="1"/>
    </row>
    <row r="70" spans="1:14">
      <c r="A70" s="19" t="s">
        <v>152</v>
      </c>
      <c r="B70" s="6">
        <v>70.27</v>
      </c>
      <c r="C70" s="6">
        <v>56.8</v>
      </c>
      <c r="D70" s="6">
        <v>4.51</v>
      </c>
      <c r="E70" s="6"/>
      <c r="F70" s="6"/>
      <c r="G70" s="6">
        <v>16.1543</v>
      </c>
      <c r="H70" s="6">
        <v>6.32</v>
      </c>
      <c r="I70" s="6">
        <v>20.15</v>
      </c>
      <c r="J70" s="6">
        <v>0.35</v>
      </c>
      <c r="K70" s="6">
        <v>13.25</v>
      </c>
      <c r="L70" s="6"/>
      <c r="M70" s="26"/>
      <c r="N70" s="1"/>
    </row>
    <row r="71" spans="1:18">
      <c r="A71" s="19" t="s">
        <v>153</v>
      </c>
      <c r="B71" s="6">
        <v>1630054</v>
      </c>
      <c r="C71" s="6">
        <v>804052</v>
      </c>
      <c r="D71" s="6">
        <v>1590086</v>
      </c>
      <c r="E71" s="6">
        <v>235238</v>
      </c>
      <c r="F71" s="6">
        <v>394491</v>
      </c>
      <c r="G71" s="6">
        <v>724004</v>
      </c>
      <c r="H71" s="6">
        <v>1151293</v>
      </c>
      <c r="I71" s="6">
        <v>1202733</v>
      </c>
      <c r="J71" s="6">
        <v>79387</v>
      </c>
      <c r="K71" s="6">
        <v>1123101</v>
      </c>
      <c r="L71" s="6">
        <v>2325934</v>
      </c>
      <c r="M71" s="26" t="s">
        <v>154</v>
      </c>
      <c r="N71" s="1"/>
      <c r="R71" t="s">
        <v>155</v>
      </c>
    </row>
    <row r="72" spans="1:16">
      <c r="A72" s="19" t="s">
        <v>180</v>
      </c>
      <c r="B72" s="32"/>
      <c r="M72" s="26" t="s">
        <v>18</v>
      </c>
      <c r="N72" s="1"/>
      <c r="P72" s="1"/>
    </row>
    <row r="73" spans="1:16">
      <c r="A73" s="19">
        <v>2013</v>
      </c>
      <c r="M73" s="26"/>
      <c r="N73" s="1"/>
      <c r="P73" s="1"/>
    </row>
    <row r="74" spans="1:16">
      <c r="A74" s="19" t="s">
        <v>181</v>
      </c>
      <c r="M74" s="26" t="s">
        <v>20</v>
      </c>
      <c r="N74" s="1"/>
      <c r="P74" s="1"/>
    </row>
    <row r="75" spans="1:16">
      <c r="A75" s="19">
        <v>2013</v>
      </c>
      <c r="C75" s="1">
        <v>7.96</v>
      </c>
      <c r="M75" s="26"/>
      <c r="N75" s="1"/>
      <c r="P75" s="1"/>
    </row>
    <row r="76" spans="1:16">
      <c r="A76" s="19" t="s">
        <v>182</v>
      </c>
      <c r="M76" s="26" t="s">
        <v>96</v>
      </c>
      <c r="N76" s="1"/>
      <c r="P76" s="1"/>
    </row>
    <row r="77" spans="1:16">
      <c r="A77" s="19">
        <v>2013</v>
      </c>
      <c r="M77" s="26"/>
      <c r="N77" s="1"/>
      <c r="P77" s="1"/>
    </row>
    <row r="78" spans="1:16">
      <c r="A78" s="19" t="s">
        <v>183</v>
      </c>
      <c r="M78" s="26"/>
      <c r="N78" s="1"/>
      <c r="P78" s="1"/>
    </row>
    <row r="79" spans="1:16">
      <c r="A79" s="19">
        <v>2013</v>
      </c>
      <c r="M79" s="26"/>
      <c r="N79" s="1"/>
      <c r="P79" s="1"/>
    </row>
    <row r="80" spans="1:2">
      <c r="A80" s="19" t="s">
        <v>156</v>
      </c>
      <c r="B80" s="32"/>
    </row>
    <row r="81" spans="1:2">
      <c r="A81" s="31" t="s">
        <v>157</v>
      </c>
      <c r="B81" s="32" t="s">
        <v>158</v>
      </c>
    </row>
    <row r="82" spans="2:2">
      <c r="B82" s="32" t="s">
        <v>159</v>
      </c>
    </row>
    <row r="83" spans="2:2">
      <c r="B83" s="32" t="s">
        <v>160</v>
      </c>
    </row>
    <row r="84" spans="2:2">
      <c r="B84" s="32" t="s">
        <v>161</v>
      </c>
    </row>
    <row r="85" spans="2:2">
      <c r="B85" s="32" t="s">
        <v>162</v>
      </c>
    </row>
    <row r="86" spans="2:2">
      <c r="B86" s="32" t="s">
        <v>163</v>
      </c>
    </row>
    <row r="87" spans="2:2">
      <c r="B87" s="32" t="s">
        <v>164</v>
      </c>
    </row>
    <row r="88" spans="2:2">
      <c r="B88" s="32" t="s">
        <v>165</v>
      </c>
    </row>
    <row r="89" spans="2:2">
      <c r="B89" s="32" t="s">
        <v>166</v>
      </c>
    </row>
    <row r="90" spans="2:2">
      <c r="B90" s="32" t="s">
        <v>167</v>
      </c>
    </row>
    <row r="91" spans="2:2">
      <c r="B91" s="32" t="s">
        <v>184</v>
      </c>
    </row>
  </sheetData>
  <mergeCells count="16">
    <mergeCell ref="M6:M7"/>
    <mergeCell ref="M8:M9"/>
    <mergeCell ref="M10:M11"/>
    <mergeCell ref="M12:M13"/>
    <mergeCell ref="M14:M17"/>
    <mergeCell ref="M39:M43"/>
    <mergeCell ref="M45:M46"/>
    <mergeCell ref="M51:M52"/>
    <mergeCell ref="M54:M55"/>
    <mergeCell ref="M57:M58"/>
    <mergeCell ref="M67:M70"/>
    <mergeCell ref="M72:M73"/>
    <mergeCell ref="M74:M75"/>
    <mergeCell ref="M76:M79"/>
    <mergeCell ref="R4:R7"/>
    <mergeCell ref="R43:R4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R98"/>
  <sheetViews>
    <sheetView workbookViewId="0">
      <pane ySplit="3" topLeftCell="A13" activePane="bottomLeft" state="frozen"/>
      <selection/>
      <selection pane="bottomLeft" activeCell="A39" sqref="A39"/>
    </sheetView>
  </sheetViews>
  <sheetFormatPr defaultColWidth="9" defaultRowHeight="14"/>
  <cols>
    <col min="1" max="1" width="21.1363636363636" customWidth="1"/>
    <col min="2" max="2" width="11.8636363636364" style="1" customWidth="1"/>
    <col min="3" max="3" width="10.8" style="1" customWidth="1"/>
    <col min="4" max="4" width="13" style="1" customWidth="1"/>
    <col min="5" max="5" width="10.8" style="1" customWidth="1"/>
    <col min="6" max="6" width="11.8636363636364" style="1" customWidth="1"/>
    <col min="7" max="9" width="10.8" style="1" customWidth="1"/>
    <col min="10" max="10" width="9.66363636363636" style="1" customWidth="1"/>
    <col min="11" max="11" width="10.8" style="1" customWidth="1"/>
    <col min="12" max="12" width="13" style="1" customWidth="1"/>
    <col min="13" max="13" width="18.6636363636364" style="2" customWidth="1"/>
    <col min="14" max="14" width="27" customWidth="1"/>
    <col min="15" max="15" width="19.8636363636364" style="1" customWidth="1"/>
    <col min="16" max="17" width="19.8636363636364" customWidth="1"/>
    <col min="18" max="18" width="84" customWidth="1"/>
  </cols>
  <sheetData>
    <row r="2" spans="3:3">
      <c r="C2" s="3"/>
    </row>
    <row r="3" spans="2:18">
      <c r="B3" s="4" t="s">
        <v>76</v>
      </c>
      <c r="C3" s="4" t="s">
        <v>77</v>
      </c>
      <c r="D3" s="4" t="s">
        <v>78</v>
      </c>
      <c r="E3" s="4" t="s">
        <v>79</v>
      </c>
      <c r="F3" s="4" t="s">
        <v>80</v>
      </c>
      <c r="G3" s="4" t="s">
        <v>81</v>
      </c>
      <c r="H3" s="4" t="s">
        <v>82</v>
      </c>
      <c r="I3" s="4" t="s">
        <v>83</v>
      </c>
      <c r="J3" s="4" t="s">
        <v>84</v>
      </c>
      <c r="K3" s="4" t="s">
        <v>85</v>
      </c>
      <c r="L3" s="4" t="s">
        <v>86</v>
      </c>
      <c r="M3" s="20" t="s">
        <v>16</v>
      </c>
      <c r="N3" s="21" t="s">
        <v>185</v>
      </c>
      <c r="O3" s="21" t="s">
        <v>186</v>
      </c>
      <c r="P3" s="21" t="s">
        <v>89</v>
      </c>
      <c r="Q3" s="21" t="s">
        <v>187</v>
      </c>
      <c r="R3" s="31" t="s">
        <v>91</v>
      </c>
    </row>
    <row r="4" ht="15" spans="1:18">
      <c r="A4" s="5" t="s">
        <v>92</v>
      </c>
      <c r="B4" s="6">
        <v>3335.6106</v>
      </c>
      <c r="C4" s="6">
        <v>1977.8531</v>
      </c>
      <c r="D4" s="6">
        <v>1315.0997</v>
      </c>
      <c r="E4" s="6">
        <v>1212.22</v>
      </c>
      <c r="F4" s="6">
        <v>1347.9749</v>
      </c>
      <c r="G4" s="6">
        <v>1179.4195</v>
      </c>
      <c r="H4" s="6">
        <v>1317.7386</v>
      </c>
      <c r="I4" s="6">
        <v>531.7887</v>
      </c>
      <c r="J4" s="6">
        <v>904.2027</v>
      </c>
      <c r="K4" s="6">
        <v>1298.0238</v>
      </c>
      <c r="L4" s="6">
        <v>667.6242</v>
      </c>
      <c r="M4" s="2" t="s">
        <v>18</v>
      </c>
      <c r="N4" s="1">
        <f>O4/Q4</f>
        <v>0.257777051926298</v>
      </c>
      <c r="O4" s="1">
        <f>O40</f>
        <v>15389.29</v>
      </c>
      <c r="Q4" s="1">
        <v>59700</v>
      </c>
      <c r="R4" s="32" t="s">
        <v>93</v>
      </c>
    </row>
    <row r="5" ht="15" spans="1:18">
      <c r="A5" s="5" t="s">
        <v>94</v>
      </c>
      <c r="B5" s="6">
        <v>38.3</v>
      </c>
      <c r="C5" s="6">
        <v>4.2</v>
      </c>
      <c r="D5" s="6">
        <v>2.9155</v>
      </c>
      <c r="E5" s="6">
        <v>2.904</v>
      </c>
      <c r="F5" s="6">
        <v>4.2235</v>
      </c>
      <c r="G5" s="6">
        <v>0.6798</v>
      </c>
      <c r="H5" s="6">
        <v>5.0089</v>
      </c>
      <c r="I5" s="6">
        <v>0.0587</v>
      </c>
      <c r="J5" s="6">
        <v>1.6354</v>
      </c>
      <c r="K5" s="6">
        <v>0.6355</v>
      </c>
      <c r="L5" s="6">
        <v>0.0392</v>
      </c>
      <c r="M5" s="2" t="s">
        <v>20</v>
      </c>
      <c r="N5" s="1"/>
      <c r="Q5" s="1"/>
      <c r="R5" s="32"/>
    </row>
    <row r="6" ht="15" spans="1:18">
      <c r="A6" s="5" t="s">
        <v>95</v>
      </c>
      <c r="B6" s="6">
        <v>17982.84</v>
      </c>
      <c r="C6" s="6">
        <v>12427.3</v>
      </c>
      <c r="D6" s="6">
        <v>11861.1</v>
      </c>
      <c r="E6" s="6">
        <v>10646.98</v>
      </c>
      <c r="F6" s="6">
        <v>11629.41</v>
      </c>
      <c r="G6" s="6">
        <v>10878.7</v>
      </c>
      <c r="H6" s="6">
        <v>12017.6702</v>
      </c>
      <c r="I6" s="6">
        <v>7453.86</v>
      </c>
      <c r="J6" s="6">
        <v>0.6291</v>
      </c>
      <c r="K6" s="6">
        <v>11821.7</v>
      </c>
      <c r="L6" s="6">
        <v>7233.9519</v>
      </c>
      <c r="M6" s="22" t="s">
        <v>96</v>
      </c>
      <c r="N6" s="32"/>
      <c r="R6" s="32"/>
    </row>
    <row r="7" ht="15" spans="1:18">
      <c r="A7" s="5" t="s">
        <v>97</v>
      </c>
      <c r="B7" s="6">
        <v>420.5</v>
      </c>
      <c r="C7" s="6">
        <v>84</v>
      </c>
      <c r="D7" s="6">
        <v>55.5291</v>
      </c>
      <c r="E7" s="6">
        <v>53.33</v>
      </c>
      <c r="F7" s="6">
        <v>109.9529</v>
      </c>
      <c r="G7" s="6">
        <v>14.72</v>
      </c>
      <c r="H7" s="6">
        <v>84.2925</v>
      </c>
      <c r="I7" s="6">
        <v>1.408</v>
      </c>
      <c r="J7" s="6">
        <v>17.748</v>
      </c>
      <c r="K7" s="6">
        <v>18.3787</v>
      </c>
      <c r="L7" s="6">
        <v>1.0136</v>
      </c>
      <c r="M7" s="22"/>
      <c r="N7" s="32"/>
      <c r="R7" s="32"/>
    </row>
    <row r="8" ht="15" spans="1:17">
      <c r="A8" s="5" t="s">
        <v>98</v>
      </c>
      <c r="B8" s="6">
        <f>B40/$O$4*$O$8</f>
        <v>269.308749748744</v>
      </c>
      <c r="C8" s="6">
        <f t="shared" ref="C8:L8" si="0">C40/$O$4*$O$8</f>
        <v>150.498052261306</v>
      </c>
      <c r="D8" s="6">
        <f t="shared" si="0"/>
        <v>100.126938693467</v>
      </c>
      <c r="E8" s="6">
        <f t="shared" si="0"/>
        <v>92.4013169849246</v>
      </c>
      <c r="F8" s="6">
        <f t="shared" si="0"/>
        <v>93.739944522613</v>
      </c>
      <c r="G8" s="6">
        <f t="shared" si="0"/>
        <v>88.841648241206</v>
      </c>
      <c r="H8" s="6">
        <f t="shared" si="0"/>
        <v>101.36351839196</v>
      </c>
      <c r="I8" s="6">
        <f t="shared" si="0"/>
        <v>39.9322198994975</v>
      </c>
      <c r="J8" s="6">
        <f t="shared" si="0"/>
        <v>70.6981427135678</v>
      </c>
      <c r="K8" s="6">
        <f t="shared" si="0"/>
        <v>97.7130570854271</v>
      </c>
      <c r="L8" s="6">
        <f t="shared" si="0"/>
        <v>50.1144932663316</v>
      </c>
      <c r="M8" s="22" t="s">
        <v>18</v>
      </c>
      <c r="N8" s="32"/>
      <c r="O8" s="1">
        <f>$N$4*Q8</f>
        <v>1154.73808180904</v>
      </c>
      <c r="Q8" s="1">
        <v>4479.6</v>
      </c>
    </row>
    <row r="9" ht="15" spans="1:15">
      <c r="A9" s="5" t="s">
        <v>99</v>
      </c>
      <c r="B9" s="6">
        <v>52.88</v>
      </c>
      <c r="C9" s="6">
        <v>36.44</v>
      </c>
      <c r="D9" s="6">
        <v>21.4</v>
      </c>
      <c r="E9" s="6">
        <f>($O$9-SUM($B$9:$D$9))*E40/SUM($E40:$L40)</f>
        <v>11.170177338539</v>
      </c>
      <c r="F9" s="6">
        <f t="shared" ref="F9:L9" si="1">($O$9-SUM($B$9:$D$9))*F40/SUM($E40:$L40)</f>
        <v>11.332000865239</v>
      </c>
      <c r="G9" s="6">
        <f t="shared" si="1"/>
        <v>10.7398573774038</v>
      </c>
      <c r="H9" s="6">
        <f t="shared" si="1"/>
        <v>12.2535967347865</v>
      </c>
      <c r="I9" s="6">
        <f t="shared" si="1"/>
        <v>4.82731190802935</v>
      </c>
      <c r="J9" s="6">
        <f t="shared" si="1"/>
        <v>8.54653177448467</v>
      </c>
      <c r="K9" s="6">
        <f t="shared" si="1"/>
        <v>11.8123010748113</v>
      </c>
      <c r="L9" s="6">
        <f t="shared" si="1"/>
        <v>6.05822292670645</v>
      </c>
      <c r="M9" s="22"/>
      <c r="N9" s="32"/>
      <c r="O9" s="1">
        <v>187.46</v>
      </c>
    </row>
    <row r="10" ht="15" spans="1:18">
      <c r="A10" s="5" t="s">
        <v>100</v>
      </c>
      <c r="B10" s="7">
        <v>848</v>
      </c>
      <c r="C10" s="7">
        <v>319</v>
      </c>
      <c r="D10" s="7">
        <f>($O$10-SUM($B$10:$C$10,$G$10,$J$10:$K$10))*D8/SUM($D$8:$F$8,$H$8:$I$8,$L$8)</f>
        <v>232.040037322928</v>
      </c>
      <c r="E10" s="7">
        <f>($O$10-SUM($B$10:$C$10,$G$10,$J$10:$K$10))*E8/SUM($D$8:$F$8,$H$8:$I$8,$L$8)</f>
        <v>214.13622868776</v>
      </c>
      <c r="F10" s="7">
        <f>($O$10-SUM($B$10:$C$10,$G$10,$J$10:$K$10))*F8/SUM($D$8:$F$8,$H$8:$I$8,$L$8)</f>
        <v>217.238442615998</v>
      </c>
      <c r="G10" s="7">
        <v>146</v>
      </c>
      <c r="H10" s="7">
        <f>($O$10-SUM($B$10:$C$10,$G$10,$J$10:$K$10))*H8/SUM($D$8:$F$8,$H$8:$I$8,$L$8)</f>
        <v>234.905759606413</v>
      </c>
      <c r="I10" s="7">
        <f>($O$10-SUM($B$10:$C$10,$G$10,$J$10:$K$10))*I8/SUM($D$8:$F$8,$H$8:$I$8,$L$8)</f>
        <v>92.5412672830604</v>
      </c>
      <c r="J10" s="7">
        <v>175</v>
      </c>
      <c r="K10" s="7">
        <v>174</v>
      </c>
      <c r="L10" s="7">
        <f>($O$10-SUM($B$10:$C$10,$G$10,$J$10:$K$10))*L8/SUM($D$8:$F$8,$H$8:$I$8,$L$8)</f>
        <v>116.138264483841</v>
      </c>
      <c r="M10" s="22" t="s">
        <v>27</v>
      </c>
      <c r="N10" s="32"/>
      <c r="O10" s="1">
        <v>2769</v>
      </c>
      <c r="Q10" s="1">
        <v>37309</v>
      </c>
      <c r="R10" t="s">
        <v>188</v>
      </c>
    </row>
    <row r="11" ht="15" spans="1:18">
      <c r="A11" s="5" t="s">
        <v>101</v>
      </c>
      <c r="B11" s="7">
        <v>145</v>
      </c>
      <c r="C11" s="7">
        <v>108</v>
      </c>
      <c r="D11" s="7">
        <v>66</v>
      </c>
      <c r="E11" s="7">
        <f>($O$11-SUM($B$11:$D$11,$F$11:$K$11))*E9/SUM($E$9,$L$9)</f>
        <v>7.78030031800855</v>
      </c>
      <c r="F11" s="7">
        <v>40</v>
      </c>
      <c r="G11" s="7">
        <v>52</v>
      </c>
      <c r="H11" s="7">
        <v>43</v>
      </c>
      <c r="I11" s="7">
        <v>29</v>
      </c>
      <c r="J11" s="7">
        <v>26</v>
      </c>
      <c r="K11" s="7">
        <v>54</v>
      </c>
      <c r="L11" s="7">
        <f>($O$11-SUM($B$11:$D$11,$F$11:$K$11))*L9/SUM($E$9,$L$9)</f>
        <v>4.21969968199145</v>
      </c>
      <c r="M11" s="22"/>
      <c r="N11" s="32"/>
      <c r="O11" s="1">
        <v>575</v>
      </c>
      <c r="Q11" s="1">
        <v>8962</v>
      </c>
      <c r="R11" s="33" t="s">
        <v>102</v>
      </c>
    </row>
    <row r="12" ht="15" spans="1:17">
      <c r="A12" s="5" t="s">
        <v>103</v>
      </c>
      <c r="B12" s="6">
        <f>B10/$O$10*$O$12</f>
        <v>3.05833188636903</v>
      </c>
      <c r="C12" s="6">
        <f t="shared" ref="C12:L12" si="2">C10/$O$10*$O$12</f>
        <v>1.15048098083929</v>
      </c>
      <c r="D12" s="6">
        <f t="shared" si="2"/>
        <v>0.836857836154447</v>
      </c>
      <c r="E12" s="6">
        <f t="shared" si="2"/>
        <v>0.772287330451163</v>
      </c>
      <c r="F12" s="6">
        <f t="shared" si="2"/>
        <v>0.783475537733084</v>
      </c>
      <c r="G12" s="6">
        <f t="shared" si="2"/>
        <v>0.526552423832404</v>
      </c>
      <c r="H12" s="6">
        <f t="shared" si="2"/>
        <v>0.847193130773621</v>
      </c>
      <c r="I12" s="6">
        <f t="shared" si="2"/>
        <v>0.333752250632999</v>
      </c>
      <c r="J12" s="6">
        <f t="shared" si="2"/>
        <v>0.631141603908703</v>
      </c>
      <c r="K12" s="6">
        <f t="shared" si="2"/>
        <v>0.627535080457796</v>
      </c>
      <c r="L12" s="6">
        <f t="shared" si="2"/>
        <v>0.418855374408597</v>
      </c>
      <c r="M12" s="22" t="s">
        <v>22</v>
      </c>
      <c r="N12" s="32"/>
      <c r="O12" s="1">
        <f>$N$4*Q12</f>
        <v>9.98646343556114</v>
      </c>
      <c r="Q12" s="1">
        <v>38.7407</v>
      </c>
    </row>
    <row r="13" ht="15" spans="1:15">
      <c r="A13" s="5" t="s">
        <v>104</v>
      </c>
      <c r="B13" s="6">
        <v>1.97</v>
      </c>
      <c r="C13" s="6">
        <v>1.39</v>
      </c>
      <c r="D13" s="6">
        <v>1.06</v>
      </c>
      <c r="E13" s="6">
        <f>($O13-SUM($B13:$D13))*E11/SUM($E11:$L11)</f>
        <v>0.11001830918434</v>
      </c>
      <c r="F13" s="6">
        <f t="shared" ref="F13:L13" si="3">($O13-SUM($B13:$D13))*F11/SUM($E11:$L11)</f>
        <v>0.565625</v>
      </c>
      <c r="G13" s="6">
        <f t="shared" si="3"/>
        <v>0.7353125</v>
      </c>
      <c r="H13" s="6">
        <f t="shared" si="3"/>
        <v>0.608046875</v>
      </c>
      <c r="I13" s="6">
        <f t="shared" si="3"/>
        <v>0.410078125</v>
      </c>
      <c r="J13" s="6">
        <f t="shared" si="3"/>
        <v>0.36765625</v>
      </c>
      <c r="K13" s="6">
        <f t="shared" si="3"/>
        <v>0.76359375</v>
      </c>
      <c r="L13" s="6">
        <f t="shared" si="3"/>
        <v>0.0596691908156603</v>
      </c>
      <c r="M13" s="22"/>
      <c r="N13" s="32"/>
      <c r="O13" s="1">
        <v>8.04</v>
      </c>
    </row>
    <row r="14" ht="15" spans="1:14">
      <c r="A14" s="8" t="s">
        <v>105</v>
      </c>
      <c r="B14" s="6">
        <v>19.0392919596017</v>
      </c>
      <c r="C14" s="6">
        <v>19.9</v>
      </c>
      <c r="D14" s="6">
        <v>19.2</v>
      </c>
      <c r="E14" s="6">
        <v>19.9</v>
      </c>
      <c r="F14" s="6">
        <f>(F4-F73)/F73*100</f>
        <v>25.2881215726368</v>
      </c>
      <c r="G14" s="6">
        <v>17.2</v>
      </c>
      <c r="H14" s="6">
        <v>19</v>
      </c>
      <c r="I14" s="6">
        <v>18.4</v>
      </c>
      <c r="J14" s="6">
        <v>17.3203232353794</v>
      </c>
      <c r="K14" s="6">
        <v>16.9408457810051</v>
      </c>
      <c r="L14" s="6">
        <v>16.6</v>
      </c>
      <c r="M14" s="22" t="s">
        <v>32</v>
      </c>
      <c r="N14" s="32"/>
    </row>
    <row r="15" ht="15" spans="1:14">
      <c r="A15" s="8" t="s">
        <v>174</v>
      </c>
      <c r="B15" s="6">
        <v>8.1</v>
      </c>
      <c r="C15" s="6">
        <f>(C5-C75)/C75*100</f>
        <v>-57.5757575757576</v>
      </c>
      <c r="D15" s="6">
        <f>(D5-D75)/D75*100</f>
        <v>-57.7463768115942</v>
      </c>
      <c r="E15" s="6">
        <f>(E5-E75)/E75*100</f>
        <v>28.4955752212389</v>
      </c>
      <c r="F15" s="6">
        <f>(F5-F75)/F75*100</f>
        <v>3.01219512195122</v>
      </c>
      <c r="G15" s="6">
        <v>-78.712344209933</v>
      </c>
      <c r="H15" s="6">
        <v>-0.1</v>
      </c>
      <c r="I15" s="6">
        <v>5.1</v>
      </c>
      <c r="J15" s="6">
        <v>-7.2</v>
      </c>
      <c r="K15" s="6">
        <v>-3.3</v>
      </c>
      <c r="L15" s="6">
        <v>11.7</v>
      </c>
      <c r="M15" s="22"/>
      <c r="N15" s="32"/>
    </row>
    <row r="16" ht="15" spans="1:14">
      <c r="A16" s="8" t="s">
        <v>107</v>
      </c>
      <c r="B16" s="6">
        <v>13.2145555275749</v>
      </c>
      <c r="C16" s="6">
        <v>13.9</v>
      </c>
      <c r="D16" s="6">
        <v>15.9</v>
      </c>
      <c r="E16" s="6">
        <v>16.5</v>
      </c>
      <c r="F16" s="6">
        <f>(F6-F77)/F77*100</f>
        <v>10.2042150749578</v>
      </c>
      <c r="G16" s="6">
        <v>14</v>
      </c>
      <c r="H16" s="6">
        <v>16.7</v>
      </c>
      <c r="I16" s="6">
        <v>15</v>
      </c>
      <c r="J16" s="6">
        <v>14.9601752690157</v>
      </c>
      <c r="K16" s="6">
        <v>15.0466592120924</v>
      </c>
      <c r="L16" s="6">
        <f>(L6-L77)/L77*100</f>
        <v>6.61117317283092</v>
      </c>
      <c r="M16" s="22"/>
      <c r="N16" s="32"/>
    </row>
    <row r="17" ht="15" spans="1:14">
      <c r="A17" s="8" t="s">
        <v>108</v>
      </c>
      <c r="B17" s="6">
        <v>4.5</v>
      </c>
      <c r="C17" s="6">
        <f>(C7-C79)/C79*100</f>
        <v>-55.0561797752809</v>
      </c>
      <c r="D17" s="6">
        <f>(D7-D79)/D79*100</f>
        <v>-60.0510071942446</v>
      </c>
      <c r="E17" s="6">
        <f>(E7-E79)/E79*100</f>
        <v>-25.4334451901566</v>
      </c>
      <c r="F17" s="6">
        <f>(F7-F79)/F79*100</f>
        <v>4.02355723746452</v>
      </c>
      <c r="G17" s="6">
        <v>-83.484797486817</v>
      </c>
      <c r="H17" s="6">
        <v>-1.1</v>
      </c>
      <c r="I17" s="6">
        <v>4.1</v>
      </c>
      <c r="J17" s="6">
        <v>3.7</v>
      </c>
      <c r="K17" s="6">
        <v>-6.9</v>
      </c>
      <c r="L17" s="6">
        <f>(L7-L79)/L79*100</f>
        <v>-97.3262991295173</v>
      </c>
      <c r="M17" s="22"/>
      <c r="N17" s="32"/>
    </row>
    <row r="18" ht="15" spans="1:13">
      <c r="A18" s="8" t="s">
        <v>109</v>
      </c>
      <c r="B18" s="6">
        <f>B40/B52*B49</f>
        <v>3.63126353578113</v>
      </c>
      <c r="C18" s="6">
        <f t="shared" ref="C18:L18" si="4">C40/C52*C49</f>
        <v>1.71247139899836</v>
      </c>
      <c r="D18" s="6">
        <f t="shared" si="4"/>
        <v>0.84565179414894</v>
      </c>
      <c r="E18" s="6">
        <f t="shared" si="4"/>
        <v>1.18899387671655</v>
      </c>
      <c r="F18" s="6">
        <f t="shared" si="4"/>
        <v>0.726038931548802</v>
      </c>
      <c r="G18" s="6">
        <f t="shared" si="4"/>
        <v>0.979131795641049</v>
      </c>
      <c r="H18" s="6">
        <f t="shared" si="4"/>
        <v>0.982405887394493</v>
      </c>
      <c r="I18" s="6">
        <f t="shared" si="4"/>
        <v>0.180674893231229</v>
      </c>
      <c r="J18" s="6">
        <f t="shared" si="4"/>
        <v>0.360537434736842</v>
      </c>
      <c r="K18" s="6">
        <f t="shared" si="4"/>
        <v>1.08901508844728</v>
      </c>
      <c r="L18" s="6">
        <f t="shared" si="4"/>
        <v>0.157928638250941</v>
      </c>
      <c r="M18" s="2" t="s">
        <v>22</v>
      </c>
    </row>
    <row r="19" ht="15" spans="1:13">
      <c r="A19" s="9" t="s">
        <v>110</v>
      </c>
      <c r="B19" s="6">
        <f>B42/B41*100</f>
        <v>7.18321586301591</v>
      </c>
      <c r="C19" s="6">
        <f t="shared" ref="C19:L19" si="5">C42/C41*100</f>
        <v>0</v>
      </c>
      <c r="D19" s="6">
        <f t="shared" si="5"/>
        <v>2.77365408633715</v>
      </c>
      <c r="E19" s="6">
        <f t="shared" si="5"/>
        <v>5.9632685187481</v>
      </c>
      <c r="F19" s="6">
        <f t="shared" si="5"/>
        <v>0</v>
      </c>
      <c r="G19" s="6">
        <f t="shared" si="5"/>
        <v>5.02999786206585</v>
      </c>
      <c r="H19" s="6">
        <f t="shared" si="5"/>
        <v>0</v>
      </c>
      <c r="I19" s="6">
        <f t="shared" si="5"/>
        <v>2.08220291504217</v>
      </c>
      <c r="J19" s="6">
        <f t="shared" si="5"/>
        <v>1.96703019246103</v>
      </c>
      <c r="K19" s="6">
        <f t="shared" si="5"/>
        <v>3.27558204704829</v>
      </c>
      <c r="L19" s="6">
        <f t="shared" si="5"/>
        <v>2.22469510524319</v>
      </c>
      <c r="M19" s="2" t="s">
        <v>32</v>
      </c>
    </row>
    <row r="20" spans="2:1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2:1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ht="15" spans="1:13">
      <c r="A22" s="10" t="s">
        <v>111</v>
      </c>
      <c r="B22" s="6">
        <f>(B58-B57)/B57*100</f>
        <v>2.34543820582198</v>
      </c>
      <c r="C22" s="6">
        <f>(C58-C57)/C57*100</f>
        <v>5.63893772993659</v>
      </c>
      <c r="D22" s="6">
        <v>7.3</v>
      </c>
      <c r="E22" s="6">
        <v>6.3</v>
      </c>
      <c r="F22" s="6">
        <v>7.1</v>
      </c>
      <c r="G22" s="6">
        <v>6.6</v>
      </c>
      <c r="H22" s="6">
        <v>4.7</v>
      </c>
      <c r="I22" s="6">
        <v>6.1</v>
      </c>
      <c r="J22" s="6">
        <v>6</v>
      </c>
      <c r="K22" s="6">
        <v>7.1</v>
      </c>
      <c r="L22" s="6">
        <v>7.3</v>
      </c>
      <c r="M22" s="2" t="s">
        <v>112</v>
      </c>
    </row>
    <row r="23" ht="15" spans="1:13">
      <c r="A23" s="10" t="s">
        <v>113</v>
      </c>
      <c r="B23" s="6">
        <v>6.3</v>
      </c>
      <c r="C23" s="6">
        <v>1.83</v>
      </c>
      <c r="D23" s="6">
        <v>7.1</v>
      </c>
      <c r="E23" s="6">
        <v>1.75</v>
      </c>
      <c r="F23" s="6">
        <v>1.88</v>
      </c>
      <c r="G23" s="6">
        <v>1.06</v>
      </c>
      <c r="H23" s="6">
        <v>5.69</v>
      </c>
      <c r="I23" s="6">
        <v>3.56</v>
      </c>
      <c r="J23" s="6">
        <v>-1.57</v>
      </c>
      <c r="K23" s="6">
        <v>4.24</v>
      </c>
      <c r="L23" s="6">
        <v>5.39</v>
      </c>
      <c r="M23" s="2" t="s">
        <v>32</v>
      </c>
    </row>
    <row r="24" ht="15" spans="1:13">
      <c r="A24" s="10" t="s">
        <v>114</v>
      </c>
      <c r="B24" s="6">
        <v>77.4</v>
      </c>
      <c r="C24" s="6">
        <v>72.9</v>
      </c>
      <c r="D24" s="6">
        <v>70</v>
      </c>
      <c r="E24" s="6">
        <v>66</v>
      </c>
      <c r="F24" s="6">
        <v>64.1</v>
      </c>
      <c r="G24" s="6">
        <v>66.6</v>
      </c>
      <c r="H24" s="6">
        <v>67.7</v>
      </c>
      <c r="I24" s="6">
        <v>58</v>
      </c>
      <c r="J24" s="6">
        <v>68.1</v>
      </c>
      <c r="K24" s="6">
        <v>63</v>
      </c>
      <c r="L24" s="6">
        <v>61.5</v>
      </c>
      <c r="M24" s="2" t="s">
        <v>112</v>
      </c>
    </row>
    <row r="25" ht="15" spans="1:13">
      <c r="A25" s="10" t="s">
        <v>115</v>
      </c>
      <c r="B25" s="6">
        <v>94593</v>
      </c>
      <c r="C25" s="6">
        <v>78458.1</v>
      </c>
      <c r="D25" s="6">
        <v>55830</v>
      </c>
      <c r="E25" s="6">
        <v>41392</v>
      </c>
      <c r="F25" s="6">
        <v>22519.26</v>
      </c>
      <c r="G25" s="6">
        <v>46935</v>
      </c>
      <c r="H25" s="6">
        <v>49567</v>
      </c>
      <c r="I25" s="6">
        <v>18312</v>
      </c>
      <c r="J25" s="6">
        <v>6398</v>
      </c>
      <c r="K25" s="6">
        <v>37745</v>
      </c>
      <c r="L25" s="6">
        <v>12145</v>
      </c>
      <c r="M25" s="2" t="s">
        <v>57</v>
      </c>
    </row>
    <row r="26" ht="15" spans="1:13">
      <c r="A26" s="11" t="s">
        <v>116</v>
      </c>
      <c r="B26" s="6">
        <v>17474</v>
      </c>
      <c r="C26" s="6">
        <v>19488</v>
      </c>
      <c r="D26" s="6">
        <v>7470</v>
      </c>
      <c r="E26" s="6">
        <v>18885</v>
      </c>
      <c r="F26" s="6">
        <v>18801</v>
      </c>
      <c r="G26" s="6">
        <v>11750.8</v>
      </c>
      <c r="H26" s="6">
        <v>12194</v>
      </c>
      <c r="I26" s="6">
        <v>12648</v>
      </c>
      <c r="J26" s="6">
        <v>1700</v>
      </c>
      <c r="K26" s="6">
        <v>8004</v>
      </c>
      <c r="L26" s="6">
        <v>7684</v>
      </c>
      <c r="M26" s="2" t="s">
        <v>59</v>
      </c>
    </row>
    <row r="27" ht="15" spans="1:13">
      <c r="A27" s="10" t="s">
        <v>117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2" t="s">
        <v>57</v>
      </c>
    </row>
    <row r="28" ht="15" spans="1:13">
      <c r="A28" s="12" t="s">
        <v>118</v>
      </c>
      <c r="B28" s="6">
        <v>66.84</v>
      </c>
      <c r="C28" s="6">
        <v>47.7</v>
      </c>
      <c r="D28" s="6">
        <v>60.03</v>
      </c>
      <c r="E28" s="6"/>
      <c r="F28" s="6">
        <v>48.4</v>
      </c>
      <c r="G28" s="6">
        <v>55.2</v>
      </c>
      <c r="H28" s="6">
        <v>61.4</v>
      </c>
      <c r="I28" s="6">
        <v>71.5</v>
      </c>
      <c r="J28" s="6">
        <v>50.7</v>
      </c>
      <c r="K28" s="6">
        <v>61.6</v>
      </c>
      <c r="L28" s="6">
        <v>81.7</v>
      </c>
      <c r="M28" s="2" t="s">
        <v>32</v>
      </c>
    </row>
    <row r="29" ht="15" spans="1:18">
      <c r="A29" s="12" t="s">
        <v>119</v>
      </c>
      <c r="B29" s="6">
        <v>48333</v>
      </c>
      <c r="C29" s="6">
        <v>35008</v>
      </c>
      <c r="D29" s="6">
        <v>13887</v>
      </c>
      <c r="E29" s="6">
        <v>16420</v>
      </c>
      <c r="F29" s="6">
        <v>10964</v>
      </c>
      <c r="G29" s="6">
        <v>14848</v>
      </c>
      <c r="H29" s="6">
        <v>18623</v>
      </c>
      <c r="I29" s="6">
        <v>5303</v>
      </c>
      <c r="J29" s="6">
        <v>14490</v>
      </c>
      <c r="K29" s="6">
        <v>13151</v>
      </c>
      <c r="L29" s="6">
        <v>5112</v>
      </c>
      <c r="M29" s="2" t="s">
        <v>63</v>
      </c>
      <c r="R29" s="33" t="s">
        <v>120</v>
      </c>
    </row>
    <row r="30" ht="15" spans="1:13">
      <c r="A30" s="12" t="s">
        <v>121</v>
      </c>
      <c r="B30" s="6">
        <v>13.58</v>
      </c>
      <c r="C30" s="6">
        <v>12.45</v>
      </c>
      <c r="D30" s="6">
        <v>12.89</v>
      </c>
      <c r="E30" s="6">
        <v>14.9</v>
      </c>
      <c r="F30" s="6">
        <v>17</v>
      </c>
      <c r="G30" s="6">
        <v>14.28</v>
      </c>
      <c r="H30" s="6">
        <v>11.74</v>
      </c>
      <c r="I30" s="6">
        <v>14.4</v>
      </c>
      <c r="J30" s="6">
        <v>18</v>
      </c>
      <c r="K30" s="6">
        <v>16.2</v>
      </c>
      <c r="L30" s="6">
        <v>12.83</v>
      </c>
      <c r="M30" s="2" t="s">
        <v>65</v>
      </c>
    </row>
    <row r="31" ht="15" spans="1:13">
      <c r="A31" s="12" t="s">
        <v>122</v>
      </c>
      <c r="B31" s="6">
        <f>B71/B55</f>
        <v>1491.28798694677</v>
      </c>
      <c r="C31" s="6">
        <f t="shared" ref="C31:L31" si="6">C71/C55</f>
        <v>811.997073884418</v>
      </c>
      <c r="D31" s="6">
        <f t="shared" si="6"/>
        <v>1388.83027027027</v>
      </c>
      <c r="E31" s="6">
        <f t="shared" si="6"/>
        <v>772.450275074058</v>
      </c>
      <c r="F31" s="6">
        <f t="shared" si="6"/>
        <v>1726.38586058804</v>
      </c>
      <c r="G31" s="6">
        <f t="shared" si="6"/>
        <v>1188.06752730884</v>
      </c>
      <c r="H31" s="6">
        <f t="shared" si="6"/>
        <v>1049.28265524625</v>
      </c>
      <c r="I31" s="6">
        <f t="shared" si="6"/>
        <v>3650.43911272069</v>
      </c>
      <c r="J31" s="6">
        <f t="shared" si="6"/>
        <v>591.031543052003</v>
      </c>
      <c r="K31" s="6">
        <f t="shared" si="6"/>
        <v>1270.12868545366</v>
      </c>
      <c r="L31" s="6">
        <f t="shared" si="6"/>
        <v>6059.94088221919</v>
      </c>
      <c r="M31" s="2" t="s">
        <v>68</v>
      </c>
    </row>
    <row r="32" ht="15" spans="1:18">
      <c r="A32" s="12" t="s">
        <v>123</v>
      </c>
      <c r="B32" s="6">
        <f t="shared" ref="B32:L32" si="7">B60/B66</f>
        <v>0.0159985182792921</v>
      </c>
      <c r="C32" s="6">
        <f t="shared" si="7"/>
        <v>0.0241345296537084</v>
      </c>
      <c r="D32" s="6">
        <f t="shared" si="7"/>
        <v>0.0292387640675403</v>
      </c>
      <c r="E32" s="6">
        <f t="shared" si="7"/>
        <v>0.0393038674952835</v>
      </c>
      <c r="F32" s="6">
        <f t="shared" si="7"/>
        <v>0.0305813262937168</v>
      </c>
      <c r="G32" s="6">
        <f t="shared" si="7"/>
        <v>0.0275344647928266</v>
      </c>
      <c r="H32" s="6">
        <f t="shared" si="7"/>
        <v>0.029775483158476</v>
      </c>
      <c r="I32" s="6">
        <f t="shared" si="7"/>
        <v>0.0407212773382969</v>
      </c>
      <c r="J32" s="6">
        <f t="shared" si="7"/>
        <v>0.0150689680082559</v>
      </c>
      <c r="K32" s="6">
        <f t="shared" si="7"/>
        <v>0.032781631978857</v>
      </c>
      <c r="L32" s="6">
        <f t="shared" si="7"/>
        <v>0.0647322254709649</v>
      </c>
      <c r="M32" s="2" t="s">
        <v>70</v>
      </c>
      <c r="R32" t="s">
        <v>189</v>
      </c>
    </row>
    <row r="33" ht="15" spans="1:18">
      <c r="A33" s="12" t="s">
        <v>124</v>
      </c>
      <c r="B33" s="6">
        <f t="shared" ref="B33:L33" si="8">B62/B66</f>
        <v>0.152390302717134</v>
      </c>
      <c r="C33" s="6">
        <f t="shared" si="8"/>
        <v>0.0682748026403078</v>
      </c>
      <c r="D33" s="6">
        <f t="shared" si="8"/>
        <v>0.0817023433163598</v>
      </c>
      <c r="E33" s="6">
        <f t="shared" si="8"/>
        <v>0.00453605038286539</v>
      </c>
      <c r="F33" s="6">
        <f t="shared" si="8"/>
        <v>0.086739429341721</v>
      </c>
      <c r="G33" s="6">
        <f t="shared" si="8"/>
        <v>0.0877479103776749</v>
      </c>
      <c r="H33" s="6">
        <f t="shared" si="8"/>
        <v>0.132143571180236</v>
      </c>
      <c r="I33" s="6">
        <f t="shared" si="8"/>
        <v>0.219795009306654</v>
      </c>
      <c r="J33" s="6">
        <f t="shared" si="8"/>
        <v>0.0650744066047472</v>
      </c>
      <c r="K33" s="6">
        <f t="shared" si="8"/>
        <v>0.0892579451602246</v>
      </c>
      <c r="L33" s="6">
        <f t="shared" si="8"/>
        <v>0.542628027190742</v>
      </c>
      <c r="M33" s="2" t="s">
        <v>70</v>
      </c>
      <c r="R33" t="s">
        <v>189</v>
      </c>
    </row>
    <row r="34" ht="15" spans="1:13">
      <c r="A34" s="12" t="s">
        <v>125</v>
      </c>
      <c r="B34" s="6">
        <v>95.9</v>
      </c>
      <c r="C34" s="6">
        <v>95.3</v>
      </c>
      <c r="D34" s="6">
        <v>95.5</v>
      </c>
      <c r="E34" s="6">
        <v>93.53</v>
      </c>
      <c r="F34" s="6">
        <v>97.4</v>
      </c>
      <c r="G34" s="6">
        <v>95.6</v>
      </c>
      <c r="H34" s="6">
        <v>95.8</v>
      </c>
      <c r="I34" s="6">
        <v>96.35</v>
      </c>
      <c r="J34" s="6">
        <v>94.8</v>
      </c>
      <c r="K34" s="6">
        <v>95.7</v>
      </c>
      <c r="L34" s="6">
        <v>96.32</v>
      </c>
      <c r="M34" s="2" t="s">
        <v>32</v>
      </c>
    </row>
    <row r="35" ht="15" spans="1:13">
      <c r="A35" s="12" t="s">
        <v>126</v>
      </c>
      <c r="B35" s="6">
        <v>100</v>
      </c>
      <c r="C35" s="6">
        <v>100</v>
      </c>
      <c r="D35" s="6">
        <v>100</v>
      </c>
      <c r="E35" s="6">
        <v>100</v>
      </c>
      <c r="F35" s="6">
        <v>100</v>
      </c>
      <c r="G35" s="6">
        <v>100</v>
      </c>
      <c r="H35" s="6">
        <v>100</v>
      </c>
      <c r="I35" s="6">
        <v>100</v>
      </c>
      <c r="J35" s="6">
        <v>100</v>
      </c>
      <c r="K35" s="6">
        <v>100</v>
      </c>
      <c r="L35" s="6">
        <v>100</v>
      </c>
      <c r="M35" s="2" t="s">
        <v>32</v>
      </c>
    </row>
    <row r="36" ht="15" spans="1:13">
      <c r="A36" s="12" t="s">
        <v>127</v>
      </c>
      <c r="B36" s="6">
        <v>87.03</v>
      </c>
      <c r="C36" s="6">
        <v>98.18</v>
      </c>
      <c r="D36" s="6">
        <v>98.5</v>
      </c>
      <c r="E36" s="6">
        <v>99.2</v>
      </c>
      <c r="F36" s="6">
        <v>99.65</v>
      </c>
      <c r="G36" s="6">
        <v>93.39</v>
      </c>
      <c r="H36" s="6">
        <v>97.73</v>
      </c>
      <c r="I36" s="6">
        <v>99.3</v>
      </c>
      <c r="J36" s="6">
        <v>86.4</v>
      </c>
      <c r="K36" s="6">
        <v>95.41</v>
      </c>
      <c r="L36" s="6">
        <v>94.54</v>
      </c>
      <c r="M36" s="2" t="s">
        <v>128</v>
      </c>
    </row>
    <row r="37" ht="15" spans="1:13">
      <c r="A37" s="12" t="s">
        <v>129</v>
      </c>
      <c r="B37" s="6">
        <f>B39/B52*100</f>
        <v>0.266486048345011</v>
      </c>
      <c r="C37" s="6">
        <f t="shared" ref="C37:L37" si="9">C39/C52*100</f>
        <v>0.276954174134937</v>
      </c>
      <c r="D37" s="6">
        <f t="shared" si="9"/>
        <v>0.155174021338093</v>
      </c>
      <c r="E37" s="6">
        <f t="shared" si="9"/>
        <v>0.42857318790307</v>
      </c>
      <c r="F37" s="6">
        <f t="shared" si="9"/>
        <v>0.768277388960196</v>
      </c>
      <c r="G37" s="6">
        <f t="shared" si="9"/>
        <v>0.273772822093818</v>
      </c>
      <c r="H37" s="6">
        <f t="shared" si="9"/>
        <v>0.300714837948115</v>
      </c>
      <c r="I37" s="6">
        <f t="shared" si="9"/>
        <v>0.970365434046431</v>
      </c>
      <c r="J37" s="6">
        <f t="shared" si="9"/>
        <v>0.38505354294828</v>
      </c>
      <c r="K37" s="6">
        <f t="shared" si="9"/>
        <v>0.383410569330847</v>
      </c>
      <c r="L37" s="6">
        <f t="shared" si="9"/>
        <v>0.717732510199545</v>
      </c>
      <c r="M37" s="2" t="s">
        <v>32</v>
      </c>
    </row>
    <row r="39" spans="1:18">
      <c r="A39" s="13" t="s">
        <v>130</v>
      </c>
      <c r="B39" s="14">
        <v>36</v>
      </c>
      <c r="C39" s="14">
        <v>29.76</v>
      </c>
      <c r="D39" s="14">
        <v>9.32</v>
      </c>
      <c r="E39" s="14">
        <v>20.88</v>
      </c>
      <c r="F39" s="14">
        <v>20.89</v>
      </c>
      <c r="G39" s="14">
        <v>14.83</v>
      </c>
      <c r="H39" s="14">
        <v>12.33</v>
      </c>
      <c r="I39" s="14">
        <v>14.27</v>
      </c>
      <c r="J39" s="14">
        <v>5.07</v>
      </c>
      <c r="K39" s="14">
        <v>18.69</v>
      </c>
      <c r="L39" s="14">
        <v>10.01</v>
      </c>
      <c r="M39" s="23" t="s">
        <v>18</v>
      </c>
      <c r="N39" s="24"/>
      <c r="O39" s="24"/>
      <c r="P39" s="25"/>
      <c r="Q39" s="25"/>
      <c r="R39" s="34" t="s">
        <v>131</v>
      </c>
    </row>
    <row r="40" spans="1:15">
      <c r="A40" s="15" t="s">
        <v>38</v>
      </c>
      <c r="B40" s="6">
        <v>3589.1</v>
      </c>
      <c r="C40" s="6">
        <v>2005.7</v>
      </c>
      <c r="D40" s="6">
        <v>1334.4</v>
      </c>
      <c r="E40" s="6">
        <v>1231.44</v>
      </c>
      <c r="F40" s="6">
        <v>1249.28</v>
      </c>
      <c r="G40" s="6">
        <v>1184</v>
      </c>
      <c r="H40" s="6">
        <v>1350.88</v>
      </c>
      <c r="I40" s="6">
        <v>532.18</v>
      </c>
      <c r="J40" s="6">
        <v>942.2</v>
      </c>
      <c r="K40" s="6">
        <v>1302.23</v>
      </c>
      <c r="L40" s="6">
        <v>667.88</v>
      </c>
      <c r="M40" s="26"/>
      <c r="O40" s="1">
        <f>SUM(B40:L40)</f>
        <v>15389.29</v>
      </c>
    </row>
    <row r="41" spans="1:18">
      <c r="A41" s="15" t="s">
        <v>42</v>
      </c>
      <c r="B41" s="6">
        <v>1717.08</v>
      </c>
      <c r="C41" s="6">
        <v>1594.1</v>
      </c>
      <c r="D41" s="6">
        <v>874.14</v>
      </c>
      <c r="E41" s="6">
        <v>588.87</v>
      </c>
      <c r="F41" s="6">
        <v>397.54</v>
      </c>
      <c r="G41" s="6">
        <v>556.65</v>
      </c>
      <c r="H41" s="6">
        <v>574</v>
      </c>
      <c r="I41" s="6">
        <v>355.94</v>
      </c>
      <c r="J41" s="6">
        <v>308.49</v>
      </c>
      <c r="K41" s="6">
        <v>653.75</v>
      </c>
      <c r="L41" s="6">
        <v>432.02</v>
      </c>
      <c r="M41" s="26"/>
      <c r="N41" s="1"/>
      <c r="P41" s="1"/>
      <c r="Q41" s="1"/>
      <c r="R41" s="33" t="s">
        <v>132</v>
      </c>
    </row>
    <row r="42" spans="1:18">
      <c r="A42" s="15" t="s">
        <v>43</v>
      </c>
      <c r="B42" s="6">
        <f>B40/B52*B46</f>
        <v>123.341562940674</v>
      </c>
      <c r="C42" s="6">
        <f t="shared" ref="C42:L42" si="10">C40/C52*C46</f>
        <v>0</v>
      </c>
      <c r="D42" s="6">
        <f t="shared" si="10"/>
        <v>24.2456198303076</v>
      </c>
      <c r="E42" s="6">
        <f t="shared" si="10"/>
        <v>35.1158993263519</v>
      </c>
      <c r="F42" s="6">
        <f t="shared" si="10"/>
        <v>0</v>
      </c>
      <c r="G42" s="6">
        <f t="shared" si="10"/>
        <v>27.9994830991896</v>
      </c>
      <c r="H42" s="6">
        <f t="shared" si="10"/>
        <v>0</v>
      </c>
      <c r="I42" s="6">
        <f t="shared" si="10"/>
        <v>7.41139305580111</v>
      </c>
      <c r="J42" s="6">
        <f t="shared" si="10"/>
        <v>6.06809144072302</v>
      </c>
      <c r="K42" s="6">
        <f t="shared" si="10"/>
        <v>21.4141176325782</v>
      </c>
      <c r="L42" s="6">
        <f t="shared" si="10"/>
        <v>9.61112779367162</v>
      </c>
      <c r="M42" s="26"/>
      <c r="N42" s="1"/>
      <c r="P42" s="1"/>
      <c r="Q42" s="1"/>
      <c r="R42" s="33"/>
    </row>
    <row r="43" spans="1:18">
      <c r="A43" s="15" t="s">
        <v>44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26"/>
      <c r="N43" s="1"/>
      <c r="O43" s="28"/>
      <c r="P43" s="1">
        <v>398.84</v>
      </c>
      <c r="Q43" s="1"/>
      <c r="R43" s="35" t="s">
        <v>176</v>
      </c>
    </row>
    <row r="44" spans="1:18">
      <c r="A44" s="16" t="s">
        <v>134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26" t="s">
        <v>32</v>
      </c>
      <c r="N44" s="1"/>
      <c r="R44" s="35"/>
    </row>
    <row r="45" spans="1:18">
      <c r="A45" s="16">
        <v>2009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26" t="s">
        <v>18</v>
      </c>
      <c r="N45" s="1"/>
      <c r="R45" s="35"/>
    </row>
    <row r="46" spans="1:18">
      <c r="A46" s="17">
        <v>2018</v>
      </c>
      <c r="B46" s="6">
        <v>464.25</v>
      </c>
      <c r="C46" s="6"/>
      <c r="D46" s="6">
        <v>109.13</v>
      </c>
      <c r="E46" s="6">
        <v>138.93</v>
      </c>
      <c r="F46" s="6"/>
      <c r="G46" s="6">
        <v>128.1</v>
      </c>
      <c r="H46" s="6"/>
      <c r="I46" s="6">
        <v>20.48</v>
      </c>
      <c r="J46" s="6">
        <v>8.48</v>
      </c>
      <c r="K46" s="6">
        <v>80.16</v>
      </c>
      <c r="L46" s="6">
        <v>20.07</v>
      </c>
      <c r="M46" s="26"/>
      <c r="N46" s="1"/>
      <c r="P46" s="29"/>
      <c r="Q46" s="29"/>
      <c r="R46" s="35"/>
    </row>
    <row r="47" spans="1:15">
      <c r="A47" s="15" t="s">
        <v>39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26" t="s">
        <v>40</v>
      </c>
      <c r="N47" s="1"/>
      <c r="O47" s="28">
        <v>45.80379</v>
      </c>
    </row>
    <row r="48" spans="1:14">
      <c r="A48" s="16" t="s">
        <v>134</v>
      </c>
      <c r="B48" s="6">
        <v>29.84</v>
      </c>
      <c r="C48" s="6">
        <v>20.03</v>
      </c>
      <c r="D48" s="6">
        <v>8.31</v>
      </c>
      <c r="E48" s="6">
        <v>10.27</v>
      </c>
      <c r="F48" s="6">
        <v>3.45</v>
      </c>
      <c r="G48" s="6">
        <v>9.78</v>
      </c>
      <c r="H48" s="6">
        <v>6.51</v>
      </c>
      <c r="I48" s="6">
        <v>1.09</v>
      </c>
      <c r="J48" s="6">
        <v>1.1</v>
      </c>
      <c r="K48" s="6">
        <v>8.9</v>
      </c>
      <c r="L48" s="6">
        <v>0.72</v>
      </c>
      <c r="M48" s="26" t="s">
        <v>32</v>
      </c>
      <c r="N48" s="1"/>
    </row>
    <row r="49" spans="1:18">
      <c r="A49" s="17">
        <v>2018</v>
      </c>
      <c r="B49" s="18">
        <f>$O47*B48/100</f>
        <v>13.667850936</v>
      </c>
      <c r="C49" s="18">
        <f t="shared" ref="C49:L49" si="11">$O47*C48/100</f>
        <v>9.174499137</v>
      </c>
      <c r="D49" s="18">
        <f t="shared" si="11"/>
        <v>3.806294949</v>
      </c>
      <c r="E49" s="18">
        <f t="shared" si="11"/>
        <v>4.704049233</v>
      </c>
      <c r="F49" s="18">
        <f t="shared" si="11"/>
        <v>1.580230755</v>
      </c>
      <c r="G49" s="18">
        <f t="shared" si="11"/>
        <v>4.479610662</v>
      </c>
      <c r="H49" s="18">
        <f t="shared" si="11"/>
        <v>2.981826729</v>
      </c>
      <c r="I49" s="18">
        <f t="shared" si="11"/>
        <v>0.499261311</v>
      </c>
      <c r="J49" s="18">
        <f t="shared" si="11"/>
        <v>0.50384169</v>
      </c>
      <c r="K49" s="18">
        <f t="shared" si="11"/>
        <v>4.07653731</v>
      </c>
      <c r="L49" s="18">
        <f t="shared" si="11"/>
        <v>0.329787288</v>
      </c>
      <c r="M49" s="26" t="s">
        <v>40</v>
      </c>
      <c r="N49" s="1"/>
      <c r="P49" s="29"/>
      <c r="Q49" s="29"/>
      <c r="R49" t="s">
        <v>135</v>
      </c>
    </row>
    <row r="50" spans="1:18">
      <c r="A50" s="15" t="s">
        <v>41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R50" s="33" t="s">
        <v>136</v>
      </c>
    </row>
    <row r="51" spans="1:14">
      <c r="A51" s="19">
        <v>2017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26" t="s">
        <v>18</v>
      </c>
      <c r="N51" s="1"/>
    </row>
    <row r="52" spans="1:18">
      <c r="A52" s="17">
        <v>2018</v>
      </c>
      <c r="B52" s="6">
        <v>13509.15</v>
      </c>
      <c r="C52" s="6">
        <v>10745.46</v>
      </c>
      <c r="D52" s="6">
        <v>6006.16</v>
      </c>
      <c r="E52" s="6">
        <v>4871.98</v>
      </c>
      <c r="F52" s="6">
        <v>2719.07</v>
      </c>
      <c r="G52" s="6">
        <v>5416.9</v>
      </c>
      <c r="H52" s="6">
        <v>4100.23</v>
      </c>
      <c r="I52" s="6">
        <v>1470.58</v>
      </c>
      <c r="J52" s="6">
        <v>1316.7</v>
      </c>
      <c r="K52" s="6">
        <v>4874.67</v>
      </c>
      <c r="L52" s="6">
        <v>1394.67</v>
      </c>
      <c r="M52" s="30"/>
      <c r="N52" s="28"/>
      <c r="O52" s="28"/>
      <c r="P52" s="29"/>
      <c r="Q52" s="29"/>
      <c r="R52" s="29"/>
    </row>
    <row r="53" spans="1:12">
      <c r="A53" s="19" t="s">
        <v>137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4">
      <c r="A54" s="19">
        <v>2017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26" t="s">
        <v>22</v>
      </c>
      <c r="N54" s="1"/>
    </row>
    <row r="55" spans="1:18">
      <c r="A55" s="17">
        <v>2018</v>
      </c>
      <c r="B55" s="6">
        <v>980.6</v>
      </c>
      <c r="C55" s="6">
        <v>820.2</v>
      </c>
      <c r="D55" s="6">
        <v>925</v>
      </c>
      <c r="E55" s="6">
        <v>472.6</v>
      </c>
      <c r="F55" s="6">
        <v>302.7</v>
      </c>
      <c r="G55" s="6">
        <v>503.5</v>
      </c>
      <c r="H55" s="6">
        <v>560.4</v>
      </c>
      <c r="I55" s="6">
        <v>220.9</v>
      </c>
      <c r="J55" s="6">
        <v>117.3</v>
      </c>
      <c r="K55" s="6">
        <v>613.9</v>
      </c>
      <c r="L55" s="6">
        <v>219.9</v>
      </c>
      <c r="M55" s="30"/>
      <c r="N55" s="28"/>
      <c r="O55" s="28"/>
      <c r="P55" s="29"/>
      <c r="Q55" s="29"/>
      <c r="R55" s="29"/>
    </row>
    <row r="56" spans="1:12">
      <c r="A56" s="19" t="s">
        <v>138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4">
      <c r="A57" s="19">
        <v>2017</v>
      </c>
      <c r="B57" s="6">
        <v>13.4607</v>
      </c>
      <c r="C57" s="6">
        <v>12.4017</v>
      </c>
      <c r="D57" s="6"/>
      <c r="E57" s="6"/>
      <c r="F57" s="6"/>
      <c r="G57" s="6"/>
      <c r="H57" s="6"/>
      <c r="I57" s="6"/>
      <c r="J57" s="6"/>
      <c r="K57" s="6"/>
      <c r="L57" s="6"/>
      <c r="M57" s="26" t="s">
        <v>139</v>
      </c>
      <c r="N57" s="1"/>
    </row>
    <row r="58" spans="1:18">
      <c r="A58" s="17">
        <v>2018</v>
      </c>
      <c r="B58" s="6">
        <f>B52/B55</f>
        <v>13.7764124005711</v>
      </c>
      <c r="C58" s="6">
        <f>C52/C55</f>
        <v>13.1010241404535</v>
      </c>
      <c r="D58" s="18"/>
      <c r="E58" s="18"/>
      <c r="F58" s="18"/>
      <c r="G58" s="18"/>
      <c r="H58" s="18"/>
      <c r="I58" s="18"/>
      <c r="J58" s="18"/>
      <c r="K58" s="18"/>
      <c r="L58" s="18"/>
      <c r="M58" s="30"/>
      <c r="N58" s="28"/>
      <c r="O58" s="28"/>
      <c r="P58" s="29"/>
      <c r="Q58" s="29"/>
      <c r="R58" s="29"/>
    </row>
    <row r="59" spans="1:18">
      <c r="A59" s="19" t="s">
        <v>141</v>
      </c>
      <c r="B59" s="6"/>
      <c r="C59" s="6"/>
      <c r="D59" s="6">
        <v>363.47</v>
      </c>
      <c r="E59" s="6"/>
      <c r="F59" s="6"/>
      <c r="G59" s="6"/>
      <c r="H59" s="6"/>
      <c r="I59" s="6"/>
      <c r="J59" s="6"/>
      <c r="K59" s="6">
        <v>297.69</v>
      </c>
      <c r="L59" s="6"/>
      <c r="M59" s="26" t="s">
        <v>142</v>
      </c>
      <c r="N59" s="1"/>
      <c r="O59" s="1">
        <v>2961.9</v>
      </c>
      <c r="R59" t="s">
        <v>189</v>
      </c>
    </row>
    <row r="60" spans="1:14">
      <c r="A60" s="19"/>
      <c r="B60" s="6">
        <v>12.384453</v>
      </c>
      <c r="C60" s="6">
        <v>14.552156</v>
      </c>
      <c r="D60" s="6">
        <f>D59/15</f>
        <v>24.2313333333333</v>
      </c>
      <c r="E60" s="6">
        <v>14.166686</v>
      </c>
      <c r="F60" s="6">
        <v>8.167049</v>
      </c>
      <c r="G60" s="6">
        <v>12.313688</v>
      </c>
      <c r="H60" s="6">
        <v>14.559318</v>
      </c>
      <c r="I60" s="6">
        <v>10.501203</v>
      </c>
      <c r="J60" s="6">
        <v>1.460183</v>
      </c>
      <c r="K60" s="6">
        <f>K59/15</f>
        <v>19.846</v>
      </c>
      <c r="L60" s="6">
        <v>17.49</v>
      </c>
      <c r="M60" s="26" t="s">
        <v>144</v>
      </c>
      <c r="N60" s="1"/>
    </row>
    <row r="61" spans="1:18">
      <c r="A61" s="19" t="s">
        <v>145</v>
      </c>
      <c r="B61" s="6">
        <v>1769.48</v>
      </c>
      <c r="C61" s="6"/>
      <c r="E61" s="6"/>
      <c r="F61" s="6"/>
      <c r="G61" s="6"/>
      <c r="H61" s="6"/>
      <c r="I61" s="6"/>
      <c r="J61" s="6"/>
      <c r="K61" s="6"/>
      <c r="L61" s="6">
        <v>2199.19</v>
      </c>
      <c r="M61" s="26" t="s">
        <v>142</v>
      </c>
      <c r="N61" s="1"/>
      <c r="O61" s="1">
        <v>8449.9</v>
      </c>
      <c r="R61" t="s">
        <v>189</v>
      </c>
    </row>
    <row r="62" spans="2:14">
      <c r="B62" s="6">
        <f>B61/15</f>
        <v>117.965333333333</v>
      </c>
      <c r="C62" s="6">
        <v>41.166975</v>
      </c>
      <c r="D62" s="6">
        <v>67.71</v>
      </c>
      <c r="E62" s="6">
        <v>1.634974</v>
      </c>
      <c r="F62" s="6">
        <v>23.164632</v>
      </c>
      <c r="G62" s="6">
        <v>39.241743</v>
      </c>
      <c r="H62" s="6">
        <v>64.614242</v>
      </c>
      <c r="I62" s="6">
        <v>56.680737</v>
      </c>
      <c r="J62" s="6">
        <v>6.30571</v>
      </c>
      <c r="K62" s="6">
        <v>54.03676</v>
      </c>
      <c r="L62" s="6">
        <f>L61/15</f>
        <v>146.612666666667</v>
      </c>
      <c r="M62" s="26" t="s">
        <v>144</v>
      </c>
      <c r="N62" s="1"/>
    </row>
    <row r="63" spans="1:14">
      <c r="A63" s="19" t="s">
        <v>177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26"/>
      <c r="N63" s="1"/>
    </row>
    <row r="64" spans="1:14">
      <c r="A64" s="19" t="s">
        <v>178</v>
      </c>
      <c r="B64" s="6">
        <v>16853</v>
      </c>
      <c r="C64" s="6">
        <v>9816</v>
      </c>
      <c r="D64" s="6">
        <v>12110</v>
      </c>
      <c r="E64" s="6">
        <v>4223</v>
      </c>
      <c r="F64" s="6">
        <v>5820</v>
      </c>
      <c r="G64" s="6">
        <v>8279</v>
      </c>
      <c r="H64" s="6">
        <v>10942</v>
      </c>
      <c r="I64" s="6">
        <v>8845</v>
      </c>
      <c r="J64" s="6">
        <v>1459</v>
      </c>
      <c r="K64" s="6">
        <v>10050</v>
      </c>
      <c r="L64" s="6">
        <v>17275</v>
      </c>
      <c r="M64" s="26" t="s">
        <v>179</v>
      </c>
      <c r="N64" s="1"/>
    </row>
    <row r="65" spans="1:18">
      <c r="A65" s="19" t="s">
        <v>146</v>
      </c>
      <c r="B65" s="6"/>
      <c r="C65" s="6"/>
      <c r="D65" s="6"/>
      <c r="E65" s="6"/>
      <c r="F65" s="6"/>
      <c r="G65" s="6"/>
      <c r="H65" s="6">
        <v>4041</v>
      </c>
      <c r="I65" s="6"/>
      <c r="J65" s="6"/>
      <c r="K65" s="6"/>
      <c r="L65" s="6"/>
      <c r="M65" s="26" t="s">
        <v>63</v>
      </c>
      <c r="N65" s="1"/>
      <c r="R65" t="s">
        <v>147</v>
      </c>
    </row>
    <row r="66" spans="1:14">
      <c r="A66" s="19" t="s">
        <v>148</v>
      </c>
      <c r="B66" s="6">
        <v>774.1</v>
      </c>
      <c r="C66" s="6">
        <v>602.96</v>
      </c>
      <c r="D66" s="6">
        <v>828.74</v>
      </c>
      <c r="E66" s="6">
        <v>360.44</v>
      </c>
      <c r="F66" s="6">
        <v>267.06</v>
      </c>
      <c r="G66" s="6">
        <v>447.21</v>
      </c>
      <c r="H66" s="6">
        <v>488.97</v>
      </c>
      <c r="I66" s="6">
        <v>257.88</v>
      </c>
      <c r="J66" s="6">
        <v>96.9</v>
      </c>
      <c r="K66" s="6">
        <v>605.4</v>
      </c>
      <c r="L66" s="6">
        <v>270.19</v>
      </c>
      <c r="M66" s="26" t="s">
        <v>22</v>
      </c>
      <c r="N66" s="1"/>
    </row>
    <row r="67" spans="1:14">
      <c r="A67" s="19" t="s">
        <v>149</v>
      </c>
      <c r="B67" s="6">
        <v>526.15</v>
      </c>
      <c r="C67" s="6">
        <v>1248.99</v>
      </c>
      <c r="D67" s="6">
        <v>360.76</v>
      </c>
      <c r="E67" s="6"/>
      <c r="F67" s="6">
        <v>246.0357</v>
      </c>
      <c r="G67" s="6"/>
      <c r="H67" s="6"/>
      <c r="I67" s="6"/>
      <c r="J67" s="6"/>
      <c r="K67" s="6">
        <v>413.49</v>
      </c>
      <c r="L67" s="6"/>
      <c r="M67" s="26" t="s">
        <v>57</v>
      </c>
      <c r="N67" s="1"/>
    </row>
    <row r="68" spans="1:14">
      <c r="A68" s="19" t="s">
        <v>150</v>
      </c>
      <c r="B68" s="6">
        <v>459.51</v>
      </c>
      <c r="C68" s="6">
        <v>1229.13</v>
      </c>
      <c r="D68" s="6">
        <v>355.3</v>
      </c>
      <c r="E68" s="6"/>
      <c r="F68" s="6"/>
      <c r="G68" s="6"/>
      <c r="H68" s="6"/>
      <c r="I68" s="6"/>
      <c r="J68" s="6"/>
      <c r="K68" s="6">
        <v>394.64</v>
      </c>
      <c r="L68" s="6"/>
      <c r="M68" s="26"/>
      <c r="N68" s="1"/>
    </row>
    <row r="69" spans="1:14">
      <c r="A69" s="19" t="s">
        <v>151</v>
      </c>
      <c r="B69" s="6"/>
      <c r="C69" s="6">
        <v>4.19</v>
      </c>
      <c r="D69" s="6">
        <v>1.28</v>
      </c>
      <c r="E69" s="6"/>
      <c r="F69" s="6"/>
      <c r="G69" s="6"/>
      <c r="H69" s="6"/>
      <c r="I69" s="6"/>
      <c r="J69" s="6"/>
      <c r="K69" s="6">
        <v>0.59</v>
      </c>
      <c r="L69" s="6"/>
      <c r="M69" s="26"/>
      <c r="N69" s="1"/>
    </row>
    <row r="70" spans="1:14">
      <c r="A70" s="19" t="s">
        <v>152</v>
      </c>
      <c r="B70" s="6">
        <v>68.87</v>
      </c>
      <c r="C70" s="6">
        <v>19.52</v>
      </c>
      <c r="D70" s="6">
        <v>4.18</v>
      </c>
      <c r="E70" s="6"/>
      <c r="F70" s="6"/>
      <c r="G70" s="6"/>
      <c r="H70" s="6"/>
      <c r="I70" s="6"/>
      <c r="J70" s="6"/>
      <c r="K70" s="6">
        <v>18.56</v>
      </c>
      <c r="L70" s="6"/>
      <c r="M70" s="26"/>
      <c r="N70" s="1"/>
    </row>
    <row r="71" spans="1:18">
      <c r="A71" s="19" t="s">
        <v>153</v>
      </c>
      <c r="B71" s="6">
        <v>1462357</v>
      </c>
      <c r="C71" s="6">
        <v>666000</v>
      </c>
      <c r="D71" s="6">
        <v>1284668</v>
      </c>
      <c r="E71" s="6">
        <v>365060</v>
      </c>
      <c r="F71" s="6">
        <v>522577</v>
      </c>
      <c r="G71" s="6">
        <v>598192</v>
      </c>
      <c r="H71" s="6">
        <v>588018</v>
      </c>
      <c r="I71" s="6">
        <v>806382</v>
      </c>
      <c r="J71" s="6">
        <v>69328</v>
      </c>
      <c r="K71" s="6">
        <v>779732</v>
      </c>
      <c r="L71" s="6">
        <v>1332581</v>
      </c>
      <c r="M71" s="26" t="s">
        <v>154</v>
      </c>
      <c r="N71" s="1"/>
      <c r="R71" t="s">
        <v>155</v>
      </c>
    </row>
    <row r="72" spans="1:14">
      <c r="A72" s="19" t="s">
        <v>180</v>
      </c>
      <c r="B72" s="32"/>
      <c r="M72" s="26" t="s">
        <v>18</v>
      </c>
      <c r="N72" s="1"/>
    </row>
    <row r="73" spans="1:14">
      <c r="A73" s="19">
        <v>2017</v>
      </c>
      <c r="C73" s="1">
        <v>1649.1</v>
      </c>
      <c r="D73" s="1">
        <v>1103.7</v>
      </c>
      <c r="E73" s="1">
        <v>1010.84</v>
      </c>
      <c r="F73" s="1">
        <v>1075.9</v>
      </c>
      <c r="M73" s="26"/>
      <c r="N73" s="1"/>
    </row>
    <row r="74" spans="1:14">
      <c r="A74" s="19" t="s">
        <v>181</v>
      </c>
      <c r="M74" s="26" t="s">
        <v>20</v>
      </c>
      <c r="N74" s="1"/>
    </row>
    <row r="75" spans="1:14">
      <c r="A75" s="19">
        <v>2017</v>
      </c>
      <c r="B75" s="1">
        <v>35.43</v>
      </c>
      <c r="C75" s="1">
        <v>9.9</v>
      </c>
      <c r="D75" s="1">
        <v>6.9</v>
      </c>
      <c r="E75" s="1">
        <v>2.26</v>
      </c>
      <c r="F75" s="1">
        <v>4.1</v>
      </c>
      <c r="M75" s="26"/>
      <c r="N75" s="1"/>
    </row>
    <row r="76" spans="1:14">
      <c r="A76" s="19" t="s">
        <v>182</v>
      </c>
      <c r="M76" s="26" t="s">
        <v>96</v>
      </c>
      <c r="N76" s="1"/>
    </row>
    <row r="77" spans="1:14">
      <c r="A77" s="19">
        <v>2017</v>
      </c>
      <c r="B77" s="1">
        <v>15884.4</v>
      </c>
      <c r="C77" s="1">
        <v>11000</v>
      </c>
      <c r="D77" s="1">
        <v>10237</v>
      </c>
      <c r="E77" s="1">
        <v>9143.29</v>
      </c>
      <c r="F77" s="1">
        <v>10552.6</v>
      </c>
      <c r="L77" s="1">
        <v>6785.36</v>
      </c>
      <c r="M77" s="26"/>
      <c r="N77" s="1"/>
    </row>
    <row r="78" spans="1:14">
      <c r="A78" s="19" t="s">
        <v>183</v>
      </c>
      <c r="M78" s="26"/>
      <c r="N78" s="1"/>
    </row>
    <row r="79" spans="1:14">
      <c r="A79" s="19">
        <v>2017</v>
      </c>
      <c r="B79" s="1">
        <v>402.23</v>
      </c>
      <c r="C79" s="1">
        <v>186.9</v>
      </c>
      <c r="D79" s="1">
        <v>139</v>
      </c>
      <c r="E79" s="1">
        <v>71.52</v>
      </c>
      <c r="F79" s="1">
        <v>105.7</v>
      </c>
      <c r="L79" s="1">
        <v>37.91</v>
      </c>
      <c r="M79" s="26"/>
      <c r="N79" s="1"/>
    </row>
    <row r="80" spans="1:2">
      <c r="A80" s="19" t="s">
        <v>156</v>
      </c>
      <c r="B80" s="32"/>
    </row>
    <row r="81" spans="1:2">
      <c r="A81" s="31" t="s">
        <v>157</v>
      </c>
      <c r="B81" s="32" t="s">
        <v>158</v>
      </c>
    </row>
    <row r="82" spans="2:2">
      <c r="B82" s="32" t="s">
        <v>159</v>
      </c>
    </row>
    <row r="83" spans="2:2">
      <c r="B83" s="32" t="s">
        <v>160</v>
      </c>
    </row>
    <row r="84" spans="2:2">
      <c r="B84" s="32" t="s">
        <v>161</v>
      </c>
    </row>
    <row r="85" spans="2:2">
      <c r="B85" s="32" t="s">
        <v>162</v>
      </c>
    </row>
    <row r="86" spans="2:2">
      <c r="B86" s="32" t="s">
        <v>163</v>
      </c>
    </row>
    <row r="87" spans="2:2">
      <c r="B87" s="32" t="s">
        <v>164</v>
      </c>
    </row>
    <row r="88" spans="2:2">
      <c r="B88" s="32" t="s">
        <v>165</v>
      </c>
    </row>
    <row r="89" spans="2:2">
      <c r="B89" s="32" t="s">
        <v>166</v>
      </c>
    </row>
    <row r="90" spans="2:2">
      <c r="B90" s="32" t="s">
        <v>167</v>
      </c>
    </row>
    <row r="91" spans="2:2">
      <c r="B91" s="32" t="s">
        <v>190</v>
      </c>
    </row>
    <row r="92" spans="2:2">
      <c r="B92" s="32" t="s">
        <v>191</v>
      </c>
    </row>
    <row r="93" spans="2:2">
      <c r="B93" t="s">
        <v>192</v>
      </c>
    </row>
    <row r="94" spans="2:2">
      <c r="B94" s="32" t="s">
        <v>193</v>
      </c>
    </row>
    <row r="95" spans="2:14">
      <c r="B95" s="32" t="s">
        <v>194</v>
      </c>
      <c r="N95" s="1"/>
    </row>
    <row r="96" spans="2:14">
      <c r="B96" t="s">
        <v>195</v>
      </c>
      <c r="N96" s="1"/>
    </row>
    <row r="97" spans="2:2">
      <c r="B97" t="s">
        <v>196</v>
      </c>
    </row>
    <row r="98" spans="2:2">
      <c r="B98" s="36" t="s">
        <v>197</v>
      </c>
    </row>
  </sheetData>
  <mergeCells count="19">
    <mergeCell ref="M6:M7"/>
    <mergeCell ref="M8:M9"/>
    <mergeCell ref="M10:M11"/>
    <mergeCell ref="M12:M13"/>
    <mergeCell ref="M14:M17"/>
    <mergeCell ref="M39:M43"/>
    <mergeCell ref="M45:M46"/>
    <mergeCell ref="M51:M52"/>
    <mergeCell ref="M54:M55"/>
    <mergeCell ref="M57:M58"/>
    <mergeCell ref="M67:M70"/>
    <mergeCell ref="M72:M73"/>
    <mergeCell ref="M74:M75"/>
    <mergeCell ref="M76:M79"/>
    <mergeCell ref="N4:N5"/>
    <mergeCell ref="O4:O5"/>
    <mergeCell ref="Q4:Q5"/>
    <mergeCell ref="R4:R7"/>
    <mergeCell ref="R43:R46"/>
  </mergeCells>
  <hyperlinks>
    <hyperlink ref="B98" r:id="rId1" display="https://www.ceicdata.com.cn/zh-hans/china/tourism-industry-overview/cn-travel-agency-number-of-employee【旅行社从业人数】"/>
  </hyperlink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R97"/>
  <sheetViews>
    <sheetView tabSelected="1" zoomScale="55" zoomScaleNormal="55" workbookViewId="0">
      <pane ySplit="3" topLeftCell="A4" activePane="bottomLeft" state="frozen"/>
      <selection/>
      <selection pane="bottomLeft" activeCell="A39" sqref="A39"/>
    </sheetView>
  </sheetViews>
  <sheetFormatPr defaultColWidth="9" defaultRowHeight="14"/>
  <cols>
    <col min="1" max="1" width="19.5272727272727" customWidth="1"/>
    <col min="2" max="2" width="12.3363636363636" style="1" customWidth="1"/>
    <col min="3" max="3" width="10.8" style="1" customWidth="1"/>
    <col min="4" max="4" width="13" style="1" customWidth="1"/>
    <col min="5" max="8" width="10.8" style="1" customWidth="1"/>
    <col min="9" max="9" width="13" style="1" customWidth="1"/>
    <col min="10" max="11" width="10.8" style="1" customWidth="1"/>
    <col min="12" max="12" width="13" style="1" customWidth="1"/>
    <col min="13" max="13" width="18.6636363636364" style="2" customWidth="1"/>
    <col min="14" max="14" width="27" style="1" customWidth="1"/>
    <col min="15" max="15" width="19.8636363636364" style="1" customWidth="1"/>
    <col min="16" max="16" width="19.8636363636364" customWidth="1"/>
    <col min="17" max="17" width="15.1363636363636" customWidth="1"/>
    <col min="18" max="18" width="84" customWidth="1"/>
  </cols>
  <sheetData>
    <row r="2" spans="3:3">
      <c r="C2" s="3"/>
    </row>
    <row r="3" spans="2:18">
      <c r="B3" s="4" t="s">
        <v>76</v>
      </c>
      <c r="C3" s="4" t="s">
        <v>77</v>
      </c>
      <c r="D3" s="4" t="s">
        <v>78</v>
      </c>
      <c r="E3" s="4" t="s">
        <v>79</v>
      </c>
      <c r="F3" s="4" t="s">
        <v>80</v>
      </c>
      <c r="G3" s="4" t="s">
        <v>81</v>
      </c>
      <c r="H3" s="4" t="s">
        <v>82</v>
      </c>
      <c r="I3" s="4" t="s">
        <v>83</v>
      </c>
      <c r="J3" s="4" t="s">
        <v>84</v>
      </c>
      <c r="K3" s="4" t="s">
        <v>85</v>
      </c>
      <c r="L3" s="4" t="s">
        <v>86</v>
      </c>
      <c r="M3" s="20" t="s">
        <v>16</v>
      </c>
      <c r="N3" s="21" t="s">
        <v>198</v>
      </c>
      <c r="O3" s="21" t="s">
        <v>199</v>
      </c>
      <c r="P3" s="21" t="s">
        <v>89</v>
      </c>
      <c r="Q3" s="21" t="s">
        <v>200</v>
      </c>
      <c r="R3" s="31" t="s">
        <v>91</v>
      </c>
    </row>
    <row r="4" ht="15" spans="1:18">
      <c r="A4" s="5" t="s">
        <v>92</v>
      </c>
      <c r="B4" s="6">
        <v>1385.9037</v>
      </c>
      <c r="C4" s="6">
        <v>775.6174</v>
      </c>
      <c r="D4" s="6">
        <v>723</v>
      </c>
      <c r="E4" s="6">
        <v>427.07</v>
      </c>
      <c r="F4" s="6">
        <v>458.7294</v>
      </c>
      <c r="G4" s="6">
        <v>357.5</v>
      </c>
      <c r="H4" s="6">
        <v>654.1963</v>
      </c>
      <c r="I4" s="6">
        <v>179.6</v>
      </c>
      <c r="J4" s="6">
        <v>172.0504</v>
      </c>
      <c r="K4" s="6">
        <v>460.671</v>
      </c>
      <c r="L4" s="6">
        <v>282.8089</v>
      </c>
      <c r="M4" s="2" t="s">
        <v>18</v>
      </c>
      <c r="N4" s="6">
        <f>O4/Q4</f>
        <v>0.293235294117647</v>
      </c>
      <c r="O4" s="1">
        <v>5982</v>
      </c>
      <c r="Q4" s="1">
        <v>20400</v>
      </c>
      <c r="R4" s="32" t="s">
        <v>93</v>
      </c>
    </row>
    <row r="5" ht="15" spans="1:18">
      <c r="A5" s="5" t="s">
        <v>94</v>
      </c>
      <c r="B5" s="6">
        <v>0.4854</v>
      </c>
      <c r="C5" s="6">
        <v>0.09902</v>
      </c>
      <c r="D5" s="6">
        <v>0.0374</v>
      </c>
      <c r="E5" s="6">
        <v>0.2524</v>
      </c>
      <c r="F5" s="6">
        <v>0.0857</v>
      </c>
      <c r="G5" s="6">
        <v>0.0136</v>
      </c>
      <c r="H5" s="6">
        <v>0.1863</v>
      </c>
      <c r="I5" s="6">
        <v>0.0013</v>
      </c>
      <c r="J5" s="6">
        <v>0.0391</v>
      </c>
      <c r="K5" s="6">
        <v>0.0146</v>
      </c>
      <c r="L5" s="6">
        <v>0.0021</v>
      </c>
      <c r="M5" s="2" t="s">
        <v>20</v>
      </c>
      <c r="O5" s="6">
        <v>1.217</v>
      </c>
      <c r="R5" s="32"/>
    </row>
    <row r="6" ht="15" spans="1:18">
      <c r="A6" s="5" t="s">
        <v>95</v>
      </c>
      <c r="B6" s="6">
        <v>8096</v>
      </c>
      <c r="C6" s="6">
        <v>5083.6</v>
      </c>
      <c r="D6" s="6">
        <v>4687</v>
      </c>
      <c r="E6" s="6">
        <v>2999.3</v>
      </c>
      <c r="F6" s="6">
        <v>2839.7</v>
      </c>
      <c r="G6" s="6">
        <v>2543.1</v>
      </c>
      <c r="H6" s="6">
        <v>3830</v>
      </c>
      <c r="I6" s="6">
        <v>1209</v>
      </c>
      <c r="J6" s="6">
        <v>1112</v>
      </c>
      <c r="K6" s="6">
        <v>3114</v>
      </c>
      <c r="L6" s="6">
        <v>2294</v>
      </c>
      <c r="M6" s="22" t="s">
        <v>96</v>
      </c>
      <c r="O6" s="1">
        <v>37465</v>
      </c>
      <c r="R6" s="32"/>
    </row>
    <row r="7" ht="15" spans="1:18">
      <c r="A7" s="5" t="s">
        <v>97</v>
      </c>
      <c r="B7" s="6">
        <v>9.6418</v>
      </c>
      <c r="C7" s="6">
        <v>3.2467</v>
      </c>
      <c r="D7" s="6">
        <v>0.6279</v>
      </c>
      <c r="E7" s="6">
        <v>1.7447</v>
      </c>
      <c r="F7" s="6">
        <v>1.6681</v>
      </c>
      <c r="G7" s="6">
        <v>0.3428</v>
      </c>
      <c r="H7" s="6">
        <v>3.3277</v>
      </c>
      <c r="I7" s="6">
        <v>0.0448</v>
      </c>
      <c r="J7" s="6">
        <v>0.9254</v>
      </c>
      <c r="K7" s="6">
        <v>0.4275</v>
      </c>
      <c r="L7" s="6">
        <v>0.0669</v>
      </c>
      <c r="M7" s="22"/>
      <c r="O7" s="6">
        <v>22.06</v>
      </c>
      <c r="R7" s="32"/>
    </row>
    <row r="8" ht="15" spans="1:17">
      <c r="A8" s="5" t="s">
        <v>98</v>
      </c>
      <c r="B8" s="6">
        <f>B4/$O$4*$O$8</f>
        <v>37.4264597379302</v>
      </c>
      <c r="C8" s="6">
        <f t="shared" ref="C8:L8" si="0">C4/$O$4*$O$8</f>
        <v>20.94562081993</v>
      </c>
      <c r="D8" s="6">
        <f t="shared" si="0"/>
        <v>19.5246829852056</v>
      </c>
      <c r="E8" s="6">
        <f t="shared" si="0"/>
        <v>11.5330655082874</v>
      </c>
      <c r="F8" s="6">
        <f t="shared" si="0"/>
        <v>12.3880305822871</v>
      </c>
      <c r="G8" s="6">
        <f t="shared" si="0"/>
        <v>9.65432111647442</v>
      </c>
      <c r="H8" s="6">
        <f t="shared" si="0"/>
        <v>17.6666325969495</v>
      </c>
      <c r="I8" s="6">
        <f t="shared" si="0"/>
        <v>4.85011488816449</v>
      </c>
      <c r="J8" s="6">
        <f t="shared" si="0"/>
        <v>4.64623723025978</v>
      </c>
      <c r="K8" s="6">
        <f t="shared" si="0"/>
        <v>12.4404636728598</v>
      </c>
      <c r="L8" s="6">
        <f t="shared" si="0"/>
        <v>7.63728093761372</v>
      </c>
      <c r="M8" s="22" t="s">
        <v>18</v>
      </c>
      <c r="O8" s="1">
        <v>161.5444725</v>
      </c>
      <c r="Q8" s="1">
        <v>1601.56</v>
      </c>
    </row>
    <row r="9" ht="15" spans="1:17">
      <c r="A9" s="5" t="s">
        <v>99</v>
      </c>
      <c r="B9" s="6">
        <v>29.91</v>
      </c>
      <c r="C9" s="6">
        <v>12.13</v>
      </c>
      <c r="D9" s="6">
        <v>15.87</v>
      </c>
      <c r="E9" s="6">
        <f>($O$9-SUM($B$9:$D$9))*E4/SUM($E4:$L4)</f>
        <v>7.80752412763907</v>
      </c>
      <c r="F9" s="6">
        <f t="shared" ref="F9:L9" si="1">($O$9-SUM($B$9:$D$9))*F4/SUM($E4:$L4)</f>
        <v>8.38630870479639</v>
      </c>
      <c r="G9" s="6">
        <f t="shared" si="1"/>
        <v>6.53567301761062</v>
      </c>
      <c r="H9" s="6">
        <f t="shared" si="1"/>
        <v>11.9597569402257</v>
      </c>
      <c r="I9" s="6">
        <f t="shared" si="1"/>
        <v>3.2833758712248</v>
      </c>
      <c r="J9" s="6">
        <f t="shared" si="1"/>
        <v>3.14535708237515</v>
      </c>
      <c r="K9" s="6">
        <f t="shared" si="1"/>
        <v>8.42180426488308</v>
      </c>
      <c r="L9" s="6">
        <f t="shared" si="1"/>
        <v>5.17019999124515</v>
      </c>
      <c r="M9" s="22"/>
      <c r="O9" s="1">
        <v>112.62</v>
      </c>
      <c r="Q9" s="1">
        <v>1177.68</v>
      </c>
    </row>
    <row r="10" ht="15" spans="1:17">
      <c r="A10" s="5" t="s">
        <v>100</v>
      </c>
      <c r="B10" s="7">
        <v>1000</v>
      </c>
      <c r="C10" s="7">
        <v>390</v>
      </c>
      <c r="D10" s="7">
        <f>($O$10-SUM($B$10:$C$10,$G$10,$K$10))*D8/SUM($D$8:$F$8,$H$8:$J$8,$L$8)</f>
        <v>358.324115473752</v>
      </c>
      <c r="E10" s="7">
        <f>($O$10-SUM($B$10:$C$10,$G$10,$K$10))*E8/SUM($D$8:$F$8,$H$8:$J$8,$L$8)</f>
        <v>211.659031805498</v>
      </c>
      <c r="F10" s="7">
        <f>($O$10-SUM($B$10:$C$10,$G$10,$K$10))*F8/SUM($D$8:$F$8,$H$8:$J$8,$L$8)</f>
        <v>227.349663204433</v>
      </c>
      <c r="G10" s="7">
        <v>174</v>
      </c>
      <c r="H10" s="7">
        <f>($O$10-SUM($B$10:$C$10,$G$10,$K$10))*H8/SUM($D$8:$F$8,$H$8:$J$8,$L$8)</f>
        <v>324.224495911067</v>
      </c>
      <c r="I10" s="7">
        <f>($O$10-SUM($B$10:$C$10,$G$10,$K$10))*I8/SUM($D$8:$F$8,$H$8:$J$8,$L$8)</f>
        <v>89.0110804136734</v>
      </c>
      <c r="J10" s="7">
        <f>($O$10-SUM($B$10:$C$10,$G$10,$K$10))*J8/SUM($D$8:$F$8,$H$8:$J$8,$L$8)</f>
        <v>85.2694431492465</v>
      </c>
      <c r="K10" s="7">
        <v>181</v>
      </c>
      <c r="L10" s="7">
        <f>($O$10-SUM($B$10:$C$10,$G$10,$K$10))*L8/SUM($D$8:$F$8,$H$8:$J$8,$L$8)</f>
        <v>140.16217004233</v>
      </c>
      <c r="M10" s="22" t="s">
        <v>27</v>
      </c>
      <c r="O10" s="1">
        <v>3181</v>
      </c>
      <c r="Q10" s="1">
        <v>32603</v>
      </c>
    </row>
    <row r="11" ht="15" spans="1:18">
      <c r="A11" s="5" t="s">
        <v>101</v>
      </c>
      <c r="B11" s="7">
        <v>97</v>
      </c>
      <c r="C11" s="7">
        <v>75</v>
      </c>
      <c r="D11" s="7">
        <v>50</v>
      </c>
      <c r="E11" s="7">
        <f>($O$11-SUM($B$11:$D$11,$F$11:$G$11,$I$11,$K$11))*E9/SUM($E$9,$H$9,$J$9,$L$9)</f>
        <v>25.2996044073479</v>
      </c>
      <c r="F11" s="7">
        <v>24</v>
      </c>
      <c r="G11" s="7">
        <v>36</v>
      </c>
      <c r="H11" s="7">
        <f>($O$11-SUM($B$11:$D$11,$F$11:$G$11,$I$11,$K$11))*H9/SUM($E$9,$H$9,$J$9,$L$9)</f>
        <v>38.7545545103864</v>
      </c>
      <c r="I11" s="7">
        <v>32</v>
      </c>
      <c r="J11" s="7">
        <f>($O$11-SUM($B$11:$D$11,$F$11:$G$11,$I$11,$K$11))*J9/SUM($E$9,$H$9,$J$9,$L$9)</f>
        <v>10.1922566748448</v>
      </c>
      <c r="K11" s="7">
        <v>32</v>
      </c>
      <c r="L11" s="7">
        <f>($O$11-SUM($B$11:$D$11,$F$11:$G$11,$I$11,$K$11))*L9/SUM($E$9,$H$9,$J$9,$L$9)</f>
        <v>16.7535844074209</v>
      </c>
      <c r="M11" s="22"/>
      <c r="O11" s="7">
        <v>437</v>
      </c>
      <c r="Q11" s="1">
        <v>7337</v>
      </c>
      <c r="R11" s="33" t="s">
        <v>102</v>
      </c>
    </row>
    <row r="12" ht="15" spans="1:17">
      <c r="A12" s="5" t="s">
        <v>103</v>
      </c>
      <c r="B12" s="6">
        <f>B10/$O$10*$O$12</f>
        <v>2.24214840875049</v>
      </c>
      <c r="C12" s="6">
        <f t="shared" ref="C12:L12" si="2">C10/$O$10*$O$12</f>
        <v>0.874437879412689</v>
      </c>
      <c r="D12" s="6">
        <f t="shared" si="2"/>
        <v>0.803415845326398</v>
      </c>
      <c r="E12" s="6">
        <f t="shared" si="2"/>
        <v>0.474570961360366</v>
      </c>
      <c r="F12" s="6">
        <f t="shared" si="2"/>
        <v>0.509751685583778</v>
      </c>
      <c r="G12" s="6">
        <f t="shared" si="2"/>
        <v>0.390133823122584</v>
      </c>
      <c r="H12" s="6">
        <f t="shared" si="2"/>
        <v>0.726959437584927</v>
      </c>
      <c r="I12" s="6">
        <f t="shared" si="2"/>
        <v>0.199576052310679</v>
      </c>
      <c r="J12" s="6">
        <f t="shared" si="2"/>
        <v>0.191186746272123</v>
      </c>
      <c r="K12" s="6">
        <f t="shared" si="2"/>
        <v>0.405828861983838</v>
      </c>
      <c r="L12" s="6">
        <f t="shared" si="2"/>
        <v>0.314264386527426</v>
      </c>
      <c r="M12" s="22" t="s">
        <v>22</v>
      </c>
      <c r="O12" s="1">
        <f>$N$4*Q12</f>
        <v>7.13227408823529</v>
      </c>
      <c r="Q12" s="1">
        <v>24.3227</v>
      </c>
    </row>
    <row r="13" ht="15" spans="1:17">
      <c r="A13" s="5" t="s">
        <v>104</v>
      </c>
      <c r="B13" s="6">
        <v>1.11</v>
      </c>
      <c r="C13" s="6">
        <v>0.54</v>
      </c>
      <c r="D13" s="6">
        <v>0.63</v>
      </c>
      <c r="E13" s="6">
        <f>($O13-SUM($B13:$D13))*E11/SUM($E11:$L11)</f>
        <v>0.278884011374021</v>
      </c>
      <c r="F13" s="6">
        <f t="shared" ref="F13:L13" si="3">($O13-SUM($B13:$D13))*F11/SUM($E11:$L11)</f>
        <v>0.264558139534884</v>
      </c>
      <c r="G13" s="6">
        <f t="shared" si="3"/>
        <v>0.396837209302326</v>
      </c>
      <c r="H13" s="6">
        <f t="shared" si="3"/>
        <v>0.427201368323794</v>
      </c>
      <c r="I13" s="6">
        <f t="shared" si="3"/>
        <v>0.352744186046512</v>
      </c>
      <c r="J13" s="6">
        <f t="shared" si="3"/>
        <v>0.112351852648289</v>
      </c>
      <c r="K13" s="6">
        <f t="shared" si="3"/>
        <v>0.352744186046512</v>
      </c>
      <c r="L13" s="6">
        <f t="shared" si="3"/>
        <v>0.184679046723663</v>
      </c>
      <c r="M13" s="22"/>
      <c r="O13" s="1">
        <v>4.65</v>
      </c>
      <c r="Q13" s="1">
        <v>764.28</v>
      </c>
    </row>
    <row r="14" ht="15" spans="1:13">
      <c r="A14" s="8" t="s">
        <v>105</v>
      </c>
      <c r="B14" s="6">
        <v>-8.72027925969834</v>
      </c>
      <c r="C14" s="6">
        <v>-5.3</v>
      </c>
      <c r="D14" s="6">
        <f>(D4-D73)/D73*100</f>
        <v>10.0791717417783</v>
      </c>
      <c r="E14" s="6">
        <v>-12.9</v>
      </c>
      <c r="F14" s="6">
        <v>-6.1</v>
      </c>
      <c r="G14" s="6">
        <v>-6.1</v>
      </c>
      <c r="H14" s="6">
        <f>(H4-H73)/H73*100</f>
        <v>-4.07678885630499</v>
      </c>
      <c r="I14" s="6">
        <f>(I4-I73)/I73*100</f>
        <v>1.25725883745841</v>
      </c>
      <c r="J14" s="6">
        <v>1.29716981132076</v>
      </c>
      <c r="K14" s="6">
        <v>8.83131971563814</v>
      </c>
      <c r="L14" s="6">
        <v>-1.92546708780516</v>
      </c>
      <c r="M14" s="22" t="s">
        <v>32</v>
      </c>
    </row>
    <row r="15" ht="15" spans="1:13">
      <c r="A15" s="8" t="s">
        <v>174</v>
      </c>
      <c r="B15" s="6">
        <v>-42.3529411764706</v>
      </c>
      <c r="C15" s="6">
        <f t="shared" ref="C15:I15" si="4">(C5-C75)/C75*100</f>
        <v>-29.2714285714286</v>
      </c>
      <c r="D15" s="6">
        <v>-0.209302325581395</v>
      </c>
      <c r="E15" s="6">
        <v>-14</v>
      </c>
      <c r="F15" s="6">
        <f t="shared" si="4"/>
        <v>-52.2030117122142</v>
      </c>
      <c r="G15" s="6">
        <v>-51.7730496453901</v>
      </c>
      <c r="H15" s="6">
        <f t="shared" si="4"/>
        <v>-25.4036133000192</v>
      </c>
      <c r="I15" s="6">
        <f t="shared" si="4"/>
        <v>-38.9671361502347</v>
      </c>
      <c r="J15" s="6">
        <v>-69.7674418604651</v>
      </c>
      <c r="K15" s="6">
        <v>-86.2198113207547</v>
      </c>
      <c r="L15" s="6">
        <v>-16</v>
      </c>
      <c r="M15" s="22"/>
    </row>
    <row r="16" ht="15" spans="1:13">
      <c r="A16" s="8" t="s">
        <v>107</v>
      </c>
      <c r="B16" s="6">
        <v>-9.37989702261025</v>
      </c>
      <c r="C16" s="6">
        <v>-1.4</v>
      </c>
      <c r="D16" s="6">
        <f t="shared" ref="D16:I16" si="5">(D6-D77)/D77*100</f>
        <v>-5.43921236331357</v>
      </c>
      <c r="E16" s="6">
        <v>-6.7</v>
      </c>
      <c r="F16" s="6">
        <v>-7.8</v>
      </c>
      <c r="G16" s="6">
        <v>-7.8</v>
      </c>
      <c r="H16" s="6">
        <f t="shared" si="5"/>
        <v>-11.4778347894421</v>
      </c>
      <c r="I16" s="6">
        <f t="shared" si="5"/>
        <v>-15.873413493654</v>
      </c>
      <c r="J16" s="6">
        <v>-10.4398260029</v>
      </c>
      <c r="K16" s="6">
        <v>-13.4906755505134</v>
      </c>
      <c r="L16" s="6">
        <f>(L6-L77)/L77*100</f>
        <v>-10.2503912363067</v>
      </c>
      <c r="M16" s="22"/>
    </row>
    <row r="17" ht="15" spans="1:13">
      <c r="A17" s="8" t="s">
        <v>108</v>
      </c>
      <c r="B17" s="6">
        <v>-46.9204175107901</v>
      </c>
      <c r="C17" s="6">
        <f t="shared" ref="C17:I17" si="6">(C7-C79)/C79*100</f>
        <v>-32.3604166666667</v>
      </c>
      <c r="D17" s="6">
        <f t="shared" si="6"/>
        <v>-47.675</v>
      </c>
      <c r="E17" s="6">
        <v>-49</v>
      </c>
      <c r="F17" s="6">
        <f>(F7-F79)/F79*100</f>
        <v>-60.4143430076651</v>
      </c>
      <c r="G17" s="6">
        <v>-52.112676056338</v>
      </c>
      <c r="H17" s="6">
        <f t="shared" si="6"/>
        <v>-33.446</v>
      </c>
      <c r="I17" s="6">
        <f t="shared" si="6"/>
        <v>-42.2680412371134</v>
      </c>
      <c r="J17" s="6">
        <v>-67.0253705815279</v>
      </c>
      <c r="K17" s="6">
        <v>-83.3835605331601</v>
      </c>
      <c r="L17" s="6">
        <f>(L7-L79)/L79*100</f>
        <v>-25.6666666666667</v>
      </c>
      <c r="M17" s="22"/>
    </row>
    <row r="18" ht="15" spans="1:13">
      <c r="A18" s="9" t="s">
        <v>175</v>
      </c>
      <c r="B18" s="6">
        <f>B40/B52*B49</f>
        <v>1.14759451821042</v>
      </c>
      <c r="C18" s="6">
        <f t="shared" ref="C18:L18" si="7">C40/C52*C49</f>
        <v>0.635711793173714</v>
      </c>
      <c r="D18" s="6">
        <f t="shared" si="7"/>
        <v>0.583645091380722</v>
      </c>
      <c r="E18" s="6">
        <f t="shared" si="7"/>
        <v>0.367117213236385</v>
      </c>
      <c r="F18" s="6">
        <f t="shared" si="7"/>
        <v>0.418743753756545</v>
      </c>
      <c r="G18" s="6">
        <f t="shared" si="7"/>
        <v>0.250529179703442</v>
      </c>
      <c r="H18" s="6">
        <f t="shared" si="7"/>
        <v>0.576258078242125</v>
      </c>
      <c r="I18" s="6">
        <f t="shared" si="7"/>
        <v>0.103120347238892</v>
      </c>
      <c r="J18" s="6">
        <f t="shared" si="7"/>
        <v>0.0415106578881087</v>
      </c>
      <c r="K18" s="6">
        <f t="shared" si="7"/>
        <v>0.429420725371263</v>
      </c>
      <c r="L18" s="6">
        <f t="shared" si="7"/>
        <v>0.186901070464282</v>
      </c>
      <c r="M18" s="2" t="s">
        <v>22</v>
      </c>
    </row>
    <row r="19" ht="15" spans="1:13">
      <c r="A19" s="9" t="s">
        <v>110</v>
      </c>
      <c r="B19" s="6">
        <f>B42/B41*100</f>
        <v>1.96865373012217</v>
      </c>
      <c r="C19" s="6">
        <f t="shared" ref="C19:L19" si="8">C42/C41*100</f>
        <v>1.04153276671345</v>
      </c>
      <c r="D19" s="6">
        <f t="shared" si="8"/>
        <v>1.65770589462827</v>
      </c>
      <c r="E19" s="6">
        <f t="shared" si="8"/>
        <v>1.78651037781672</v>
      </c>
      <c r="F19" s="6">
        <f t="shared" si="8"/>
        <v>2.51495285902624</v>
      </c>
      <c r="G19" s="6">
        <f t="shared" si="8"/>
        <v>1.33580377860463</v>
      </c>
      <c r="H19" s="6">
        <f t="shared" si="8"/>
        <v>1.93923509875711</v>
      </c>
      <c r="I19" s="6">
        <f t="shared" si="8"/>
        <v>0.714736919003431</v>
      </c>
      <c r="J19" s="6">
        <f t="shared" si="8"/>
        <v>1.01989828301561</v>
      </c>
      <c r="K19" s="6">
        <f t="shared" si="8"/>
        <v>1.42127562354141</v>
      </c>
      <c r="L19" s="6">
        <f t="shared" si="8"/>
        <v>1.01517071561248</v>
      </c>
      <c r="M19" s="2" t="s">
        <v>32</v>
      </c>
    </row>
    <row r="20" spans="2:1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2:1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ht="15" spans="1:13">
      <c r="A22" s="10" t="s">
        <v>111</v>
      </c>
      <c r="B22" s="6">
        <f>(B58-B57)/B57*100</f>
        <v>1.82240402517067</v>
      </c>
      <c r="C22" s="6">
        <f>(C58-C57)/C57*100</f>
        <v>6.48965060225309</v>
      </c>
      <c r="D22" s="6">
        <v>3.2</v>
      </c>
      <c r="E22" s="6">
        <v>1.2</v>
      </c>
      <c r="F22" s="6">
        <v>2.7</v>
      </c>
      <c r="G22" s="6">
        <v>3.8</v>
      </c>
      <c r="H22" s="6">
        <v>2</v>
      </c>
      <c r="I22" s="6">
        <v>4.5</v>
      </c>
      <c r="J22" s="6">
        <f>(J58-J57)/J57*100</f>
        <v>13.9982675242649</v>
      </c>
      <c r="K22" s="6">
        <f>(K58-K57)/K57*100</f>
        <v>3.99935697964152</v>
      </c>
      <c r="L22" s="6">
        <v>3.9</v>
      </c>
      <c r="M22" s="2" t="s">
        <v>112</v>
      </c>
    </row>
    <row r="23" ht="15" spans="1:13">
      <c r="A23" s="10" t="s">
        <v>113</v>
      </c>
      <c r="B23" s="6">
        <v>2.46</v>
      </c>
      <c r="C23" s="6">
        <v>-1.25</v>
      </c>
      <c r="D23" s="6">
        <v>0</v>
      </c>
      <c r="E23" s="6">
        <v>0.2</v>
      </c>
      <c r="F23" s="6">
        <v>-1.4</v>
      </c>
      <c r="G23" s="6">
        <v>-1.8</v>
      </c>
      <c r="H23" s="6">
        <v>-0.38</v>
      </c>
      <c r="I23" s="6">
        <v>-1.82</v>
      </c>
      <c r="J23" s="6">
        <v>-4.64</v>
      </c>
      <c r="K23" s="6">
        <v>-1.34</v>
      </c>
      <c r="L23" s="6">
        <v>-1.19</v>
      </c>
      <c r="M23" s="2" t="s">
        <v>32</v>
      </c>
    </row>
    <row r="24" ht="15" spans="1:13">
      <c r="A24" s="10" t="s">
        <v>114</v>
      </c>
      <c r="B24" s="6">
        <v>84</v>
      </c>
      <c r="C24" s="6">
        <v>78.9</v>
      </c>
      <c r="D24" s="6">
        <v>73.7</v>
      </c>
      <c r="E24" s="6">
        <v>72.4</v>
      </c>
      <c r="F24" s="6">
        <v>66.4</v>
      </c>
      <c r="G24" s="6">
        <v>72.1</v>
      </c>
      <c r="H24" s="6">
        <v>69.4</v>
      </c>
      <c r="I24" s="6">
        <v>59.3</v>
      </c>
      <c r="J24" s="6">
        <v>73.2</v>
      </c>
      <c r="K24" s="6">
        <v>63.9</v>
      </c>
      <c r="L24" s="6">
        <v>63.5</v>
      </c>
      <c r="M24" s="2" t="s">
        <v>112</v>
      </c>
    </row>
    <row r="25" ht="15" spans="1:15">
      <c r="A25" s="10" t="s">
        <v>115</v>
      </c>
      <c r="B25" s="6">
        <v>13407.43</v>
      </c>
      <c r="C25" s="6">
        <v>59227.364481</v>
      </c>
      <c r="D25" s="6"/>
      <c r="E25" s="6"/>
      <c r="F25" s="6">
        <v>20164.04</v>
      </c>
      <c r="G25" s="6">
        <v>48961</v>
      </c>
      <c r="H25" s="6">
        <v>6833.04</v>
      </c>
      <c r="I25" s="6">
        <v>8010.34</v>
      </c>
      <c r="J25" s="6">
        <v>7652</v>
      </c>
      <c r="K25" s="6"/>
      <c r="L25" s="6">
        <v>2474.14</v>
      </c>
      <c r="M25" s="2" t="s">
        <v>57</v>
      </c>
      <c r="O25" s="6">
        <v>433723</v>
      </c>
    </row>
    <row r="26" ht="15" spans="1:13">
      <c r="A26" s="11" t="s">
        <v>116</v>
      </c>
      <c r="B26" s="6">
        <v>3223.24</v>
      </c>
      <c r="C26" s="6">
        <v>8016.316</v>
      </c>
      <c r="D26" s="6">
        <v>3337.1</v>
      </c>
      <c r="E26" s="6">
        <v>4509.6</v>
      </c>
      <c r="F26" s="6">
        <v>3767.69</v>
      </c>
      <c r="G26" s="6">
        <v>4138.36</v>
      </c>
      <c r="H26" s="6">
        <v>3121.8</v>
      </c>
      <c r="I26" s="6">
        <v>3385.55</v>
      </c>
      <c r="J26" s="6">
        <v>1556.1</v>
      </c>
      <c r="K26" s="6">
        <v>3831.2</v>
      </c>
      <c r="L26" s="6">
        <v>764.8</v>
      </c>
      <c r="M26" s="2" t="s">
        <v>59</v>
      </c>
    </row>
    <row r="27" ht="15" spans="1:13">
      <c r="A27" s="10" t="s">
        <v>117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2" t="s">
        <v>57</v>
      </c>
    </row>
    <row r="28" ht="15" spans="1:13">
      <c r="A28" s="12" t="s">
        <v>118</v>
      </c>
      <c r="B28" s="6">
        <v>65.33</v>
      </c>
      <c r="C28" s="6">
        <v>44.67</v>
      </c>
      <c r="D28" s="6">
        <v>60.73</v>
      </c>
      <c r="E28" s="6"/>
      <c r="F28" s="6">
        <v>47.55</v>
      </c>
      <c r="G28" s="6">
        <v>46.97</v>
      </c>
      <c r="H28" s="6">
        <v>61.53</v>
      </c>
      <c r="I28" s="6">
        <v>69.26</v>
      </c>
      <c r="J28" s="6">
        <v>42.94</v>
      </c>
      <c r="K28" s="6">
        <v>58.78</v>
      </c>
      <c r="L28" s="6">
        <v>79.9</v>
      </c>
      <c r="M28" s="2" t="s">
        <v>32</v>
      </c>
    </row>
    <row r="29" ht="15" spans="1:18">
      <c r="A29" s="12" t="s">
        <v>119</v>
      </c>
      <c r="B29" s="6">
        <v>55881</v>
      </c>
      <c r="C29" s="6">
        <v>38963</v>
      </c>
      <c r="D29" s="6">
        <v>18068</v>
      </c>
      <c r="E29" s="6">
        <v>17531</v>
      </c>
      <c r="F29" s="6">
        <v>11910</v>
      </c>
      <c r="G29" s="6">
        <v>18569</v>
      </c>
      <c r="H29" s="6">
        <v>20803</v>
      </c>
      <c r="I29" s="6">
        <v>6000</v>
      </c>
      <c r="J29" s="6">
        <v>14989</v>
      </c>
      <c r="K29" s="6">
        <v>14290</v>
      </c>
      <c r="L29" s="6">
        <v>5809</v>
      </c>
      <c r="M29" s="2" t="s">
        <v>63</v>
      </c>
      <c r="R29" s="33" t="s">
        <v>120</v>
      </c>
    </row>
    <row r="30" ht="15" spans="1:13">
      <c r="A30" s="12" t="s">
        <v>121</v>
      </c>
      <c r="B30" s="6">
        <v>12.7</v>
      </c>
      <c r="C30" s="6">
        <v>14.6</v>
      </c>
      <c r="D30" s="6">
        <v>13.03</v>
      </c>
      <c r="E30" s="6">
        <v>16.18</v>
      </c>
      <c r="F30" s="6">
        <v>17.46</v>
      </c>
      <c r="G30" s="6">
        <v>15.95</v>
      </c>
      <c r="H30" s="6">
        <v>13.68</v>
      </c>
      <c r="I30" s="6">
        <v>16.15</v>
      </c>
      <c r="J30" s="6">
        <v>16.12</v>
      </c>
      <c r="K30" s="6">
        <v>15.08</v>
      </c>
      <c r="L30" s="6">
        <v>14.69</v>
      </c>
      <c r="M30" s="2" t="s">
        <v>65</v>
      </c>
    </row>
    <row r="31" ht="15" spans="1:13">
      <c r="A31" s="12" t="s">
        <v>122</v>
      </c>
      <c r="B31" s="6">
        <f>B71/B55</f>
        <v>1034.90627020039</v>
      </c>
      <c r="C31" s="6">
        <v>979.4</v>
      </c>
      <c r="D31" s="6">
        <v>1098</v>
      </c>
      <c r="E31" s="6">
        <v>451</v>
      </c>
      <c r="F31" s="6">
        <v>1011</v>
      </c>
      <c r="G31" s="6">
        <f>G71/G55</f>
        <v>1229.6114328414</v>
      </c>
      <c r="H31" s="6">
        <v>1199.09</v>
      </c>
      <c r="I31" s="6">
        <v>4996</v>
      </c>
      <c r="J31" s="6">
        <v>745.9</v>
      </c>
      <c r="K31" s="6">
        <v>1361</v>
      </c>
      <c r="L31" s="6">
        <v>7970.6</v>
      </c>
      <c r="M31" s="2" t="s">
        <v>68</v>
      </c>
    </row>
    <row r="32" ht="15" spans="1:13">
      <c r="A32" s="12" t="s">
        <v>123</v>
      </c>
      <c r="B32" s="6">
        <f>B60/B66</f>
        <v>0.0148922350162386</v>
      </c>
      <c r="C32" s="6">
        <f>C60/C66</f>
        <v>0.0235196247336586</v>
      </c>
      <c r="D32" s="6">
        <f t="shared" ref="D32:L32" si="9">D60/D66</f>
        <v>0.0185977735567791</v>
      </c>
      <c r="E32" s="6">
        <f t="shared" si="9"/>
        <v>0.0404446222933618</v>
      </c>
      <c r="F32" s="6">
        <f t="shared" si="9"/>
        <v>0.0312440327840395</v>
      </c>
      <c r="G32" s="6">
        <f t="shared" si="9"/>
        <v>0.0271155772882927</v>
      </c>
      <c r="H32" s="6">
        <f t="shared" si="9"/>
        <v>0.0298334239002824</v>
      </c>
      <c r="I32" s="6">
        <f t="shared" si="9"/>
        <v>0.0421832725561699</v>
      </c>
      <c r="J32" s="6">
        <f t="shared" si="9"/>
        <v>0.0152699012812434</v>
      </c>
      <c r="K32" s="6">
        <f t="shared" si="9"/>
        <v>0.0214904813069951</v>
      </c>
      <c r="L32" s="6">
        <f t="shared" si="9"/>
        <v>0.0450055699962867</v>
      </c>
      <c r="M32" s="2" t="s">
        <v>70</v>
      </c>
    </row>
    <row r="33" ht="15" spans="1:13">
      <c r="A33" s="12" t="s">
        <v>124</v>
      </c>
      <c r="B33" s="6">
        <f>B62/B66</f>
        <v>0.12923531148509</v>
      </c>
      <c r="C33" s="6">
        <f>C62/C66</f>
        <v>0.0658229614482533</v>
      </c>
      <c r="D33" s="6">
        <f t="shared" ref="D33:L33" si="10">D62/D66</f>
        <v>0.0883652713327402</v>
      </c>
      <c r="E33" s="6">
        <f t="shared" si="10"/>
        <v>0.00461695789426883</v>
      </c>
      <c r="F33" s="6">
        <f t="shared" si="10"/>
        <v>0.0861238205061439</v>
      </c>
      <c r="G33" s="6">
        <f t="shared" si="10"/>
        <v>0.0878964604548921</v>
      </c>
      <c r="H33" s="6">
        <f t="shared" si="10"/>
        <v>0.129309477328074</v>
      </c>
      <c r="I33" s="6">
        <f t="shared" si="10"/>
        <v>0.221670653125776</v>
      </c>
      <c r="J33" s="6">
        <f t="shared" si="10"/>
        <v>0.0658965203388644</v>
      </c>
      <c r="K33" s="6">
        <f t="shared" si="10"/>
        <v>0.0891831280822106</v>
      </c>
      <c r="L33" s="6">
        <f t="shared" si="10"/>
        <v>0.513875479638569</v>
      </c>
      <c r="M33" s="2" t="s">
        <v>70</v>
      </c>
    </row>
    <row r="34" ht="15" spans="1:13">
      <c r="A34" s="12" t="s">
        <v>125</v>
      </c>
      <c r="B34" s="6">
        <v>97.54</v>
      </c>
      <c r="C34" s="6">
        <v>99.6</v>
      </c>
      <c r="D34" s="6">
        <v>97.46</v>
      </c>
      <c r="E34" s="6">
        <v>98.31</v>
      </c>
      <c r="F34" s="6">
        <v>98.5</v>
      </c>
      <c r="G34" s="6">
        <v>97.59</v>
      </c>
      <c r="H34" s="6">
        <v>97.9</v>
      </c>
      <c r="I34" s="6">
        <v>97.39</v>
      </c>
      <c r="J34" s="6">
        <v>91.9</v>
      </c>
      <c r="K34" s="6">
        <v>98.02</v>
      </c>
      <c r="L34" s="6">
        <v>98.5</v>
      </c>
      <c r="M34" s="2" t="s">
        <v>32</v>
      </c>
    </row>
    <row r="35" ht="15" spans="1:13">
      <c r="A35" s="12" t="s">
        <v>126</v>
      </c>
      <c r="B35" s="6">
        <v>100</v>
      </c>
      <c r="C35" s="6">
        <v>100</v>
      </c>
      <c r="D35" s="6">
        <v>100</v>
      </c>
      <c r="E35" s="6">
        <v>100</v>
      </c>
      <c r="F35" s="6">
        <v>100</v>
      </c>
      <c r="G35" s="6">
        <v>100</v>
      </c>
      <c r="H35" s="6">
        <v>100</v>
      </c>
      <c r="I35" s="6">
        <v>100</v>
      </c>
      <c r="J35" s="6">
        <v>100</v>
      </c>
      <c r="K35" s="6">
        <v>100</v>
      </c>
      <c r="L35" s="6">
        <v>100</v>
      </c>
      <c r="M35" s="2" t="s">
        <v>32</v>
      </c>
    </row>
    <row r="36" ht="15" spans="1:13">
      <c r="A36" s="12" t="s">
        <v>127</v>
      </c>
      <c r="B36" s="6">
        <v>98.91</v>
      </c>
      <c r="C36" s="6">
        <v>99.7063200069656</v>
      </c>
      <c r="D36" s="6">
        <f>D68/D67*100</f>
        <v>99.6098855798428</v>
      </c>
      <c r="E36" s="6">
        <f>E68/E67*100</f>
        <v>99.8469080308138</v>
      </c>
      <c r="F36" s="6">
        <v>99.99</v>
      </c>
      <c r="G36" s="6">
        <v>98.96</v>
      </c>
      <c r="H36" s="6">
        <v>99.61</v>
      </c>
      <c r="I36" s="6">
        <v>98.39</v>
      </c>
      <c r="J36" s="6">
        <f>J68/J67*100</f>
        <v>99.937111143663</v>
      </c>
      <c r="K36" s="6">
        <v>99.4310463046939</v>
      </c>
      <c r="L36" s="6">
        <v>99.72</v>
      </c>
      <c r="M36" s="2" t="s">
        <v>128</v>
      </c>
    </row>
    <row r="37" ht="15" spans="1:13">
      <c r="A37" s="12" t="s">
        <v>129</v>
      </c>
      <c r="B37" s="6">
        <v>0.209216658667946</v>
      </c>
      <c r="C37" s="6">
        <v>0.198911742231279</v>
      </c>
      <c r="D37" s="6">
        <v>0.23793399750934</v>
      </c>
      <c r="E37" s="6">
        <v>0.300510461492803</v>
      </c>
      <c r="F37" s="6">
        <v>0.51285974025974</v>
      </c>
      <c r="G37" s="6">
        <v>0.160643449870766</v>
      </c>
      <c r="H37" s="6">
        <v>0.244002157497303</v>
      </c>
      <c r="I37" s="6">
        <v>0.592381427858213</v>
      </c>
      <c r="J37" s="6">
        <v>0.209800102511533</v>
      </c>
      <c r="K37" s="6">
        <v>0.575507366330078</v>
      </c>
      <c r="L37" s="6">
        <v>0.587744401966139</v>
      </c>
      <c r="M37" s="2" t="s">
        <v>32</v>
      </c>
    </row>
    <row r="39" spans="1:18">
      <c r="A39" s="13" t="s">
        <v>130</v>
      </c>
      <c r="B39" s="14">
        <v>39.23</v>
      </c>
      <c r="C39" s="14">
        <v>31.24</v>
      </c>
      <c r="D39" s="14">
        <v>19.11</v>
      </c>
      <c r="E39" s="14">
        <v>20.25</v>
      </c>
      <c r="F39" s="14">
        <v>19.75</v>
      </c>
      <c r="G39" s="14">
        <v>11.81</v>
      </c>
      <c r="H39" s="14">
        <v>13.57</v>
      </c>
      <c r="I39" s="14">
        <v>11.87</v>
      </c>
      <c r="J39" s="14">
        <v>4.09</v>
      </c>
      <c r="K39" s="14">
        <v>34.77</v>
      </c>
      <c r="L39" s="14">
        <v>10.76</v>
      </c>
      <c r="M39" s="23" t="s">
        <v>18</v>
      </c>
      <c r="N39" s="24"/>
      <c r="O39" s="24"/>
      <c r="P39" s="25"/>
      <c r="Q39" s="25"/>
      <c r="R39" s="34" t="s">
        <v>131</v>
      </c>
    </row>
    <row r="40" spans="1:17">
      <c r="A40" s="15" t="s">
        <v>38</v>
      </c>
      <c r="B40" s="6">
        <v>1298</v>
      </c>
      <c r="C40" s="6">
        <v>776.3</v>
      </c>
      <c r="D40" s="6">
        <f t="shared" ref="D40:L40" si="11">D4+D5*6.7261</f>
        <v>723.25155614</v>
      </c>
      <c r="E40" s="6">
        <v>428.77</v>
      </c>
      <c r="F40" s="6">
        <f t="shared" si="11"/>
        <v>459.30582677</v>
      </c>
      <c r="G40" s="6">
        <v>357.6</v>
      </c>
      <c r="H40" s="6">
        <f t="shared" si="11"/>
        <v>655.44937243</v>
      </c>
      <c r="I40" s="6">
        <f t="shared" si="11"/>
        <v>179.60874393</v>
      </c>
      <c r="J40" s="6">
        <f t="shared" si="11"/>
        <v>172.31339051</v>
      </c>
      <c r="K40" s="6">
        <f t="shared" si="11"/>
        <v>460.76920106</v>
      </c>
      <c r="L40" s="6">
        <f t="shared" si="11"/>
        <v>282.82302481</v>
      </c>
      <c r="M40" s="26"/>
      <c r="N40" s="6" t="e">
        <f>O40/Q40</f>
        <v>#DIV/0!</v>
      </c>
      <c r="O40" s="1">
        <f>SUM(B40:L40)</f>
        <v>5794.19111565</v>
      </c>
      <c r="Q40" s="1"/>
    </row>
    <row r="41" spans="1:18">
      <c r="A41" s="15" t="s">
        <v>42</v>
      </c>
      <c r="B41" s="6">
        <v>2542.09</v>
      </c>
      <c r="C41" s="6">
        <v>2187.81</v>
      </c>
      <c r="D41" s="6">
        <v>1137.74</v>
      </c>
      <c r="E41" s="6">
        <v>827.71</v>
      </c>
      <c r="F41" s="6">
        <v>601.92</v>
      </c>
      <c r="G41" s="6">
        <v>804.86</v>
      </c>
      <c r="H41" s="6">
        <v>830.4</v>
      </c>
      <c r="I41" s="6">
        <v>567.7</v>
      </c>
      <c r="J41" s="6">
        <v>354.27</v>
      </c>
      <c r="K41" s="6">
        <v>834.93</v>
      </c>
      <c r="L41" s="27">
        <v>607.1</v>
      </c>
      <c r="M41" s="26"/>
      <c r="P41" s="1"/>
      <c r="Q41" s="1"/>
      <c r="R41" s="33" t="s">
        <v>132</v>
      </c>
    </row>
    <row r="42" spans="1:18">
      <c r="A42" s="15" t="s">
        <v>43</v>
      </c>
      <c r="B42" s="6">
        <f>B40/B52*B46</f>
        <v>50.0449496080627</v>
      </c>
      <c r="C42" s="6">
        <f t="shared" ref="C42:L42" si="12">C40/C52*C46</f>
        <v>22.7867580234335</v>
      </c>
      <c r="D42" s="6">
        <f t="shared" si="12"/>
        <v>18.8603830455437</v>
      </c>
      <c r="E42" s="6">
        <f t="shared" si="12"/>
        <v>14.7871250482267</v>
      </c>
      <c r="F42" s="6">
        <f t="shared" si="12"/>
        <v>15.1380042490507</v>
      </c>
      <c r="G42" s="6">
        <f t="shared" si="12"/>
        <v>10.7513502924772</v>
      </c>
      <c r="H42" s="6">
        <f t="shared" si="12"/>
        <v>16.103408260079</v>
      </c>
      <c r="I42" s="6">
        <f t="shared" si="12"/>
        <v>4.05756148918248</v>
      </c>
      <c r="J42" s="6">
        <f t="shared" si="12"/>
        <v>3.61319364723942</v>
      </c>
      <c r="K42" s="6">
        <f t="shared" si="12"/>
        <v>11.8666565636343</v>
      </c>
      <c r="L42" s="6">
        <f t="shared" si="12"/>
        <v>6.16310141448334</v>
      </c>
      <c r="M42" s="26"/>
      <c r="P42" s="1"/>
      <c r="Q42" s="1"/>
      <c r="R42" s="33"/>
    </row>
    <row r="43" spans="1:18">
      <c r="A43" s="15" t="s">
        <v>44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26"/>
      <c r="O43" s="28"/>
      <c r="P43" s="1">
        <v>398.84</v>
      </c>
      <c r="Q43" s="1"/>
      <c r="R43" s="35" t="s">
        <v>176</v>
      </c>
    </row>
    <row r="44" spans="1:18">
      <c r="A44" s="16" t="s">
        <v>134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26" t="s">
        <v>32</v>
      </c>
      <c r="R44" s="35"/>
    </row>
    <row r="45" spans="1:18">
      <c r="A45" s="16">
        <v>2009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26" t="s">
        <v>18</v>
      </c>
      <c r="R45" s="35"/>
    </row>
    <row r="46" spans="1:18">
      <c r="A46" s="17">
        <v>2022</v>
      </c>
      <c r="B46" s="6">
        <v>723.03</v>
      </c>
      <c r="C46" s="6">
        <v>460.96</v>
      </c>
      <c r="D46" s="6">
        <v>209.4</v>
      </c>
      <c r="E46" s="6">
        <v>232.41</v>
      </c>
      <c r="F46" s="6">
        <v>126.89</v>
      </c>
      <c r="G46" s="6">
        <v>221.01</v>
      </c>
      <c r="H46" s="6">
        <v>136.65</v>
      </c>
      <c r="I46" s="6">
        <v>45.25</v>
      </c>
      <c r="J46" s="6">
        <v>40.91</v>
      </c>
      <c r="K46" s="6">
        <v>155.58</v>
      </c>
      <c r="L46" s="6">
        <v>39.9</v>
      </c>
      <c r="M46" s="26"/>
      <c r="P46" s="29"/>
      <c r="Q46" s="29"/>
      <c r="R46" s="35"/>
    </row>
    <row r="47" spans="1:15">
      <c r="A47" s="15" t="s">
        <v>39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26" t="s">
        <v>40</v>
      </c>
      <c r="O47" s="28"/>
    </row>
    <row r="48" spans="1:13">
      <c r="A48" s="16" t="s">
        <v>134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26" t="s">
        <v>32</v>
      </c>
    </row>
    <row r="49" spans="1:18">
      <c r="A49" s="17">
        <v>2022</v>
      </c>
      <c r="B49" s="18">
        <v>16.58</v>
      </c>
      <c r="C49" s="18">
        <v>12.86</v>
      </c>
      <c r="D49" s="18">
        <v>6.48</v>
      </c>
      <c r="E49" s="18">
        <v>5.77</v>
      </c>
      <c r="F49" s="18">
        <v>3.51</v>
      </c>
      <c r="G49" s="18">
        <v>5.15</v>
      </c>
      <c r="H49" s="18">
        <v>4.89</v>
      </c>
      <c r="I49" s="18">
        <v>1.15</v>
      </c>
      <c r="J49" s="18">
        <v>0.47</v>
      </c>
      <c r="K49" s="18">
        <v>5.63</v>
      </c>
      <c r="L49" s="18">
        <v>1.21</v>
      </c>
      <c r="M49" s="26" t="s">
        <v>40</v>
      </c>
      <c r="P49" s="29"/>
      <c r="Q49" s="29"/>
      <c r="R49" t="s">
        <v>135</v>
      </c>
    </row>
    <row r="50" spans="1:18">
      <c r="A50" s="15" t="s">
        <v>41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R50" s="33" t="s">
        <v>136</v>
      </c>
    </row>
    <row r="51" spans="1:13">
      <c r="A51" s="19">
        <v>2021</v>
      </c>
      <c r="B51" s="6">
        <v>18109</v>
      </c>
      <c r="C51" s="6">
        <v>14595</v>
      </c>
      <c r="D51" s="6"/>
      <c r="E51" s="6"/>
      <c r="F51" s="6"/>
      <c r="G51" s="6"/>
      <c r="H51" s="6"/>
      <c r="I51" s="6"/>
      <c r="J51" s="6"/>
      <c r="K51" s="6"/>
      <c r="L51" s="6"/>
      <c r="M51" s="26" t="s">
        <v>18</v>
      </c>
    </row>
    <row r="52" spans="1:18">
      <c r="A52" s="17">
        <v>2022</v>
      </c>
      <c r="B52" s="6">
        <v>18753</v>
      </c>
      <c r="C52" s="6">
        <v>15704</v>
      </c>
      <c r="D52" s="6">
        <v>8030</v>
      </c>
      <c r="E52" s="6">
        <v>6739</v>
      </c>
      <c r="F52" s="6">
        <v>3850</v>
      </c>
      <c r="G52" s="6">
        <v>7351</v>
      </c>
      <c r="H52" s="6">
        <v>5562</v>
      </c>
      <c r="I52" s="6">
        <v>2003</v>
      </c>
      <c r="J52" s="6">
        <v>1951</v>
      </c>
      <c r="K52" s="6">
        <v>6041</v>
      </c>
      <c r="L52" s="6">
        <v>1831</v>
      </c>
      <c r="M52" s="30"/>
      <c r="N52" s="28"/>
      <c r="O52" s="28"/>
      <c r="P52" s="29"/>
      <c r="Q52" s="29"/>
      <c r="R52" s="29"/>
    </row>
    <row r="53" spans="1:12">
      <c r="A53" s="19" t="s">
        <v>137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3">
      <c r="A54" s="19">
        <v>2021</v>
      </c>
      <c r="B54" s="6">
        <v>1220.4</v>
      </c>
      <c r="C54" s="6">
        <v>954.4</v>
      </c>
      <c r="D54" s="6"/>
      <c r="E54" s="6"/>
      <c r="F54" s="6"/>
      <c r="G54" s="6"/>
      <c r="H54" s="6"/>
      <c r="I54" s="6"/>
      <c r="J54" s="6"/>
      <c r="K54" s="6"/>
      <c r="L54" s="6"/>
      <c r="M54" s="26" t="s">
        <v>22</v>
      </c>
    </row>
    <row r="55" spans="1:18">
      <c r="A55" s="17">
        <v>2022</v>
      </c>
      <c r="B55" s="6">
        <v>1237.6</v>
      </c>
      <c r="C55" s="6">
        <v>961.8</v>
      </c>
      <c r="D55" s="6"/>
      <c r="E55" s="6"/>
      <c r="F55" s="6"/>
      <c r="G55" s="6">
        <v>535.3</v>
      </c>
      <c r="H55" s="6"/>
      <c r="I55" s="6"/>
      <c r="J55" s="6"/>
      <c r="K55" s="6"/>
      <c r="L55" s="6"/>
      <c r="M55" s="30"/>
      <c r="N55" s="28"/>
      <c r="O55" s="28"/>
      <c r="P55" s="29"/>
      <c r="Q55" s="29"/>
      <c r="R55" s="29"/>
    </row>
    <row r="56" spans="1:12">
      <c r="A56" s="19" t="s">
        <v>138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3">
      <c r="A57" s="19">
        <v>2021</v>
      </c>
      <c r="B57" s="6">
        <v>14.9857</v>
      </c>
      <c r="C57" s="6">
        <v>15.3922</v>
      </c>
      <c r="D57" s="6"/>
      <c r="E57" s="6"/>
      <c r="F57" s="6"/>
      <c r="G57" s="6"/>
      <c r="H57" s="6"/>
      <c r="I57" s="6"/>
      <c r="J57" s="6">
        <v>146611</v>
      </c>
      <c r="K57" s="6">
        <v>87089</v>
      </c>
      <c r="L57" s="6"/>
      <c r="M57" s="26" t="s">
        <v>139</v>
      </c>
    </row>
    <row r="58" spans="1:18">
      <c r="A58" s="17">
        <v>2022</v>
      </c>
      <c r="B58" s="6">
        <v>15.2588</v>
      </c>
      <c r="C58" s="6">
        <v>16.3911</v>
      </c>
      <c r="D58" s="18"/>
      <c r="E58" s="18"/>
      <c r="F58" s="18"/>
      <c r="G58" s="18"/>
      <c r="H58" s="18"/>
      <c r="I58" s="18"/>
      <c r="J58" s="18">
        <v>167134</v>
      </c>
      <c r="K58" s="18">
        <v>90572</v>
      </c>
      <c r="L58" s="18"/>
      <c r="M58" s="30"/>
      <c r="N58" s="28"/>
      <c r="O58" s="28"/>
      <c r="P58" s="29"/>
      <c r="Q58" s="29"/>
      <c r="R58" s="29"/>
    </row>
    <row r="59" spans="1:13">
      <c r="A59" s="19" t="s">
        <v>201</v>
      </c>
      <c r="B59" s="6"/>
      <c r="C59" s="6">
        <v>219.11</v>
      </c>
      <c r="D59" s="6"/>
      <c r="E59" s="6">
        <v>227.41</v>
      </c>
      <c r="F59" s="6">
        <v>125.99</v>
      </c>
      <c r="G59" s="6">
        <v>181.33</v>
      </c>
      <c r="H59" s="6">
        <v>222.35</v>
      </c>
      <c r="I59" s="6">
        <v>161.37</v>
      </c>
      <c r="J59" s="6">
        <v>21.81</v>
      </c>
      <c r="K59" s="6">
        <v>195.01</v>
      </c>
      <c r="L59" s="6"/>
      <c r="M59" s="26" t="s">
        <v>142</v>
      </c>
    </row>
    <row r="60" spans="1:15">
      <c r="A60" s="19"/>
      <c r="B60" s="6">
        <v>12.61</v>
      </c>
      <c r="C60" s="6">
        <f>C59/15</f>
        <v>14.6073333333333</v>
      </c>
      <c r="D60" s="6">
        <v>15.47</v>
      </c>
      <c r="E60" s="6">
        <f>E59/15</f>
        <v>15.1606666666667</v>
      </c>
      <c r="F60" s="6">
        <f t="shared" ref="F60:K60" si="13">F59/15</f>
        <v>8.39933333333333</v>
      </c>
      <c r="G60" s="6">
        <f t="shared" si="13"/>
        <v>12.0886666666667</v>
      </c>
      <c r="H60" s="6">
        <f t="shared" si="13"/>
        <v>14.8233333333333</v>
      </c>
      <c r="I60" s="6">
        <f t="shared" si="13"/>
        <v>10.758</v>
      </c>
      <c r="J60" s="6">
        <f t="shared" si="13"/>
        <v>1.454</v>
      </c>
      <c r="K60" s="6">
        <f t="shared" si="13"/>
        <v>13.0006666666667</v>
      </c>
      <c r="L60" s="6">
        <v>12.12</v>
      </c>
      <c r="M60" s="26" t="s">
        <v>144</v>
      </c>
      <c r="O60" s="1">
        <v>130.48</v>
      </c>
    </row>
    <row r="61" spans="1:13">
      <c r="A61" s="19" t="s">
        <v>145</v>
      </c>
      <c r="B61" s="6"/>
      <c r="C61" s="6">
        <v>613.21</v>
      </c>
      <c r="D61" s="1">
        <v>1102.56</v>
      </c>
      <c r="E61" s="6">
        <v>25.96</v>
      </c>
      <c r="F61" s="6">
        <v>347.29</v>
      </c>
      <c r="G61" s="6">
        <v>587.79</v>
      </c>
      <c r="H61" s="6">
        <v>961.94</v>
      </c>
      <c r="I61" s="6">
        <v>847.99</v>
      </c>
      <c r="J61" s="6">
        <v>94.12</v>
      </c>
      <c r="K61" s="6">
        <v>809.27</v>
      </c>
      <c r="L61" s="6">
        <v>2075.8</v>
      </c>
      <c r="M61" s="26" t="s">
        <v>142</v>
      </c>
    </row>
    <row r="62" spans="2:15">
      <c r="B62" s="6">
        <v>109.43</v>
      </c>
      <c r="C62" s="6">
        <f>C61/15</f>
        <v>40.8806666666667</v>
      </c>
      <c r="D62" s="6">
        <f t="shared" ref="D62:L62" si="14">D61/15</f>
        <v>73.504</v>
      </c>
      <c r="E62" s="6">
        <f t="shared" si="14"/>
        <v>1.73066666666667</v>
      </c>
      <c r="F62" s="6">
        <f t="shared" si="14"/>
        <v>23.1526666666667</v>
      </c>
      <c r="G62" s="6">
        <f t="shared" si="14"/>
        <v>39.186</v>
      </c>
      <c r="H62" s="6">
        <v>64.25</v>
      </c>
      <c r="I62" s="6">
        <f t="shared" si="14"/>
        <v>56.5326666666667</v>
      </c>
      <c r="J62" s="6">
        <f t="shared" si="14"/>
        <v>6.27466666666667</v>
      </c>
      <c r="K62" s="6">
        <f t="shared" si="14"/>
        <v>53.9513333333333</v>
      </c>
      <c r="L62" s="6">
        <f t="shared" si="14"/>
        <v>138.386666666667</v>
      </c>
      <c r="M62" s="26" t="s">
        <v>144</v>
      </c>
      <c r="O62" s="1">
        <v>607.04</v>
      </c>
    </row>
    <row r="63" spans="1:13">
      <c r="A63" s="19" t="s">
        <v>177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26"/>
    </row>
    <row r="64" spans="1:13">
      <c r="A64" s="19" t="s">
        <v>178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26" t="s">
        <v>179</v>
      </c>
    </row>
    <row r="65" spans="1:18">
      <c r="A65" s="19" t="s">
        <v>146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26" t="s">
        <v>63</v>
      </c>
      <c r="R65" t="s">
        <v>147</v>
      </c>
    </row>
    <row r="66" spans="1:13">
      <c r="A66" s="19" t="s">
        <v>148</v>
      </c>
      <c r="B66" s="6">
        <v>846.75</v>
      </c>
      <c r="C66" s="6">
        <v>621.07</v>
      </c>
      <c r="D66" s="6">
        <v>831.82</v>
      </c>
      <c r="E66" s="6">
        <v>374.85</v>
      </c>
      <c r="F66" s="6">
        <v>268.83</v>
      </c>
      <c r="G66" s="6">
        <v>445.82</v>
      </c>
      <c r="H66" s="6">
        <v>496.87</v>
      </c>
      <c r="I66" s="6">
        <v>255.03</v>
      </c>
      <c r="J66" s="6">
        <v>95.22</v>
      </c>
      <c r="K66" s="6">
        <v>604.95</v>
      </c>
      <c r="L66" s="6">
        <v>269.3</v>
      </c>
      <c r="M66" s="26" t="s">
        <v>22</v>
      </c>
    </row>
    <row r="67" spans="1:13">
      <c r="A67" s="19" t="s">
        <v>149</v>
      </c>
      <c r="B67" s="6">
        <v>559.35</v>
      </c>
      <c r="C67" s="6">
        <v>1403.94</v>
      </c>
      <c r="D67" s="6">
        <v>497.29</v>
      </c>
      <c r="E67" s="6">
        <v>614.01</v>
      </c>
      <c r="F67" s="6">
        <v>288.57</v>
      </c>
      <c r="G67" s="6">
        <v>419.31</v>
      </c>
      <c r="H67" s="6">
        <v>345.18</v>
      </c>
      <c r="I67" s="6">
        <v>404.27</v>
      </c>
      <c r="J67" s="6">
        <v>272.3853</v>
      </c>
      <c r="K67" s="6">
        <v>528.16</v>
      </c>
      <c r="L67" s="6">
        <v>170.9</v>
      </c>
      <c r="M67" s="26" t="s">
        <v>57</v>
      </c>
    </row>
    <row r="68" spans="1:13">
      <c r="A68" s="19" t="s">
        <v>150</v>
      </c>
      <c r="B68" s="6">
        <v>557.99</v>
      </c>
      <c r="C68" s="6">
        <v>1399.89</v>
      </c>
      <c r="D68" s="6">
        <v>495.35</v>
      </c>
      <c r="E68" s="6">
        <v>613.07</v>
      </c>
      <c r="F68" s="6">
        <v>288.61</v>
      </c>
      <c r="G68" s="6">
        <v>418.68</v>
      </c>
      <c r="H68" s="6">
        <v>343.91</v>
      </c>
      <c r="I68" s="6">
        <v>398.83</v>
      </c>
      <c r="J68" s="6">
        <v>272.214</v>
      </c>
      <c r="K68" s="6"/>
      <c r="L68" s="6"/>
      <c r="M68" s="26"/>
    </row>
    <row r="69" spans="1:13">
      <c r="A69" s="19" t="s">
        <v>151</v>
      </c>
      <c r="B69" s="6"/>
      <c r="C69" s="6">
        <v>0.17</v>
      </c>
      <c r="D69" s="6">
        <v>0.52</v>
      </c>
      <c r="E69" s="6">
        <v>0.6</v>
      </c>
      <c r="F69" s="6">
        <v>0.0178</v>
      </c>
      <c r="G69" s="6">
        <v>1.67</v>
      </c>
      <c r="H69" s="6">
        <v>1.23</v>
      </c>
      <c r="I69" s="6">
        <v>3.1</v>
      </c>
      <c r="J69" s="6">
        <v>0.24</v>
      </c>
      <c r="K69" s="6">
        <v>0.34</v>
      </c>
      <c r="L69" s="6"/>
      <c r="M69" s="26"/>
    </row>
    <row r="70" spans="1:13">
      <c r="A70" s="19" t="s">
        <v>152</v>
      </c>
      <c r="B70" s="6">
        <v>4.34</v>
      </c>
      <c r="C70" s="6">
        <v>4.02</v>
      </c>
      <c r="D70" s="6">
        <v>1.99</v>
      </c>
      <c r="E70" s="6">
        <v>1.29</v>
      </c>
      <c r="F70" s="6">
        <v>0.0043</v>
      </c>
      <c r="G70" s="6">
        <v>2.82</v>
      </c>
      <c r="H70" s="6">
        <v>0.92</v>
      </c>
      <c r="I70" s="6">
        <v>3.83</v>
      </c>
      <c r="J70" s="6">
        <v>0.232</v>
      </c>
      <c r="K70" s="6"/>
      <c r="L70" s="6"/>
      <c r="M70" s="26"/>
    </row>
    <row r="71" spans="1:18">
      <c r="A71" s="19" t="s">
        <v>153</v>
      </c>
      <c r="B71" s="6">
        <v>1280800</v>
      </c>
      <c r="C71" s="6"/>
      <c r="D71" s="6">
        <v>1062000</v>
      </c>
      <c r="E71" s="6">
        <v>250100</v>
      </c>
      <c r="F71" s="6">
        <v>345000</v>
      </c>
      <c r="G71" s="6">
        <v>658211</v>
      </c>
      <c r="H71" s="6"/>
      <c r="I71" s="6">
        <v>1143100</v>
      </c>
      <c r="J71" s="6"/>
      <c r="K71" s="6"/>
      <c r="L71" s="6">
        <v>2004600</v>
      </c>
      <c r="M71" s="26" t="s">
        <v>154</v>
      </c>
      <c r="R71" t="s">
        <v>155</v>
      </c>
    </row>
    <row r="72" spans="1:13">
      <c r="A72" s="19" t="s">
        <v>180</v>
      </c>
      <c r="B72" s="32"/>
      <c r="M72" s="26" t="s">
        <v>18</v>
      </c>
    </row>
    <row r="73" spans="1:13">
      <c r="A73" s="19">
        <v>2021</v>
      </c>
      <c r="D73" s="1">
        <v>656.8</v>
      </c>
      <c r="F73" s="1">
        <v>535.21</v>
      </c>
      <c r="H73" s="1">
        <v>682</v>
      </c>
      <c r="I73" s="1">
        <v>177.37</v>
      </c>
      <c r="M73" s="26"/>
    </row>
    <row r="74" spans="1:13">
      <c r="A74" s="19" t="s">
        <v>181</v>
      </c>
      <c r="M74" s="26" t="s">
        <v>20</v>
      </c>
    </row>
    <row r="75" spans="1:13">
      <c r="A75" s="19">
        <v>2021</v>
      </c>
      <c r="C75" s="1">
        <v>0.14</v>
      </c>
      <c r="D75" s="1">
        <v>0.04729</v>
      </c>
      <c r="F75" s="1">
        <v>0.1793</v>
      </c>
      <c r="H75" s="1">
        <v>0.249744</v>
      </c>
      <c r="I75" s="1">
        <v>0.00213</v>
      </c>
      <c r="M75" s="26"/>
    </row>
    <row r="76" spans="1:13">
      <c r="A76" s="19" t="s">
        <v>182</v>
      </c>
      <c r="M76" s="26" t="s">
        <v>96</v>
      </c>
    </row>
    <row r="77" spans="1:13">
      <c r="A77" s="19">
        <v>2021</v>
      </c>
      <c r="D77" s="1">
        <v>4956.6</v>
      </c>
      <c r="F77" s="1">
        <v>3631.5</v>
      </c>
      <c r="H77" s="1">
        <v>4326.6</v>
      </c>
      <c r="I77" s="1">
        <v>1437.12</v>
      </c>
      <c r="L77" s="1">
        <v>2556</v>
      </c>
      <c r="M77" s="26"/>
    </row>
    <row r="78" spans="1:13">
      <c r="A78" s="19" t="s">
        <v>183</v>
      </c>
      <c r="M78" s="26"/>
    </row>
    <row r="79" spans="1:13">
      <c r="A79" s="19">
        <v>2021</v>
      </c>
      <c r="C79" s="1">
        <v>4.8</v>
      </c>
      <c r="D79" s="1">
        <v>1.2</v>
      </c>
      <c r="F79" s="1">
        <v>4.2139</v>
      </c>
      <c r="H79" s="1">
        <v>5</v>
      </c>
      <c r="I79" s="1">
        <v>0.0776</v>
      </c>
      <c r="L79" s="1">
        <v>0.09</v>
      </c>
      <c r="M79" s="26"/>
    </row>
    <row r="80" spans="1:2">
      <c r="A80" s="19" t="s">
        <v>156</v>
      </c>
      <c r="B80" s="32"/>
    </row>
    <row r="81" spans="1:2">
      <c r="A81" s="31" t="s">
        <v>157</v>
      </c>
      <c r="B81" s="32" t="s">
        <v>158</v>
      </c>
    </row>
    <row r="82" spans="2:2">
      <c r="B82" s="32" t="s">
        <v>202</v>
      </c>
    </row>
    <row r="83" spans="2:2">
      <c r="B83" s="32" t="s">
        <v>160</v>
      </c>
    </row>
    <row r="84" spans="2:2">
      <c r="B84" s="32" t="s">
        <v>161</v>
      </c>
    </row>
    <row r="85" spans="2:2">
      <c r="B85" s="32" t="s">
        <v>162</v>
      </c>
    </row>
    <row r="86" spans="2:2">
      <c r="B86" s="32" t="s">
        <v>163</v>
      </c>
    </row>
    <row r="87" spans="2:2">
      <c r="B87" s="32" t="s">
        <v>164</v>
      </c>
    </row>
    <row r="88" spans="2:2">
      <c r="B88" s="32" t="s">
        <v>165</v>
      </c>
    </row>
    <row r="89" spans="2:2">
      <c r="B89" s="32" t="s">
        <v>166</v>
      </c>
    </row>
    <row r="90" spans="2:2">
      <c r="B90" s="32" t="s">
        <v>203</v>
      </c>
    </row>
    <row r="91" spans="2:2">
      <c r="B91" s="32" t="s">
        <v>190</v>
      </c>
    </row>
    <row r="92" spans="2:2">
      <c r="B92" s="32" t="s">
        <v>191</v>
      </c>
    </row>
    <row r="93" spans="2:2">
      <c r="B93" t="s">
        <v>192</v>
      </c>
    </row>
    <row r="94" spans="2:2">
      <c r="B94" s="32" t="s">
        <v>193</v>
      </c>
    </row>
    <row r="95" spans="2:2">
      <c r="B95" s="32" t="s">
        <v>204</v>
      </c>
    </row>
    <row r="96" spans="2:2">
      <c r="B96" t="s">
        <v>195</v>
      </c>
    </row>
    <row r="97" spans="2:2">
      <c r="B97" t="s">
        <v>205</v>
      </c>
    </row>
  </sheetData>
  <mergeCells count="16">
    <mergeCell ref="M6:M7"/>
    <mergeCell ref="M8:M9"/>
    <mergeCell ref="M10:M11"/>
    <mergeCell ref="M12:M13"/>
    <mergeCell ref="M14:M17"/>
    <mergeCell ref="M39:M43"/>
    <mergeCell ref="M45:M46"/>
    <mergeCell ref="M51:M52"/>
    <mergeCell ref="M54:M55"/>
    <mergeCell ref="M57:M58"/>
    <mergeCell ref="M67:M70"/>
    <mergeCell ref="M72:M73"/>
    <mergeCell ref="M74:M75"/>
    <mergeCell ref="M76:M79"/>
    <mergeCell ref="R4:R7"/>
    <mergeCell ref="R43:R4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浙江省旅游产业</vt:lpstr>
      <vt:lpstr>浙江省生态安全</vt:lpstr>
      <vt:lpstr>2010年</vt:lpstr>
      <vt:lpstr>2014年</vt:lpstr>
      <vt:lpstr>2018年</vt:lpstr>
      <vt:lpstr>2022年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Passie</cp:lastModifiedBy>
  <dcterms:created xsi:type="dcterms:W3CDTF">2024-08-12T03:05:00Z</dcterms:created>
  <dcterms:modified xsi:type="dcterms:W3CDTF">2025-05-22T15:08:36Z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13113036274641EAA1AA4238C6E4E24D_13</vt:lpwstr>
  </property>
  <property fmtid="{D5CDD505-2E9C-101B-9397-08002B2CF9AE}" pid="3" name="KSOProductBuildVer">
    <vt:lpwstr>2052-12.1.0.21171</vt:lpwstr>
  </property>
  <property fmtid="{D5CDD505-2E9C-101B-9397-08002B2CF9AE}" pid="4" name="KSOReadingLayout">
    <vt:bool>true</vt:bool>
  </property>
</Properties>
</file>